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195" windowHeight="11145" activeTab="2"/>
  </bookViews>
  <sheets>
    <sheet name="委員長コメント" sheetId="1" r:id="rId1"/>
    <sheet name="結果報告" sheetId="2" r:id="rId2"/>
    <sheet name="表1" sheetId="3" r:id="rId3"/>
    <sheet name="表2" sheetId="4" r:id="rId4"/>
    <sheet name="表3" sheetId="5" r:id="rId5"/>
    <sheet name="検査" sheetId="6" r:id="rId6"/>
    <sheet name="相談" sheetId="7" r:id="rId7"/>
    <sheet name="献血件数及びＨＩＶ抗体・核酸増幅検査陽性件数" sheetId="8" r:id="rId8"/>
    <sheet name="参考資料＿表紙" sheetId="9" r:id="rId9"/>
    <sheet name="参考資料＿平成１８年度ＨＩＶ検査・相談体制" sheetId="10" r:id="rId10"/>
    <sheet name="参考資料＿重点都道府県等のエイズ対策に関する取組状況" sheetId="11" r:id="rId11"/>
  </sheets>
  <externalReferences>
    <externalReference r:id="rId14"/>
  </externalReferences>
  <definedNames>
    <definedName name="OLE_LINK1" localSheetId="0">'委員長コメント'!$A$16</definedName>
    <definedName name="_xlnm.Print_Area" localSheetId="5">'検査'!$A$1:$S$57</definedName>
    <definedName name="_xlnm.Print_Area" localSheetId="10">'参考資料＿重点都道府県等のエイズ対策に関する取組状況'!$A$1:$H$19</definedName>
    <definedName name="_xlnm.Print_Area" localSheetId="9">'参考資料＿平成１８年度ＨＩＶ検査・相談体制'!$B$1:$T$78</definedName>
    <definedName name="_xlnm.Print_Area" localSheetId="6">'相談'!$A$1:$S$54</definedName>
    <definedName name="_xlnm.Print_Area" localSheetId="2">'表1'!$A$1:$X$42</definedName>
    <definedName name="_xlnm.Print_Area" localSheetId="3">'表2'!$A$1:$O$34</definedName>
    <definedName name="_xlnm.Print_Area" localSheetId="4">'表3'!$A$1:$R$59</definedName>
    <definedName name="_xlnm.Print_Titles" localSheetId="5">'検査'!$A:$A</definedName>
    <definedName name="_xlnm.Print_Titles" localSheetId="9">'参考資料＿平成１８年度ＨＩＶ検査・相談体制'!$3:$3</definedName>
    <definedName name="_xlnm.Print_Titles" localSheetId="6">'相談'!$A:$A</definedName>
  </definedNames>
  <calcPr fullCalcOnLoad="1"/>
</workbook>
</file>

<file path=xl/sharedStrings.xml><?xml version="1.0" encoding="utf-8"?>
<sst xmlns="http://schemas.openxmlformats.org/spreadsheetml/2006/main" count="1303" uniqueCount="464">
  <si>
    <t>エイズ動向委員会の結果報告について</t>
  </si>
  <si>
    <t>１　本日の委員会では、平成１８年３月２７日より平成１８年７月２日までの感染症法に基づく患者・感染者報告並びに平成１８年４月１日から平成１８年６月３０日までの任意報告を解析した。</t>
  </si>
  <si>
    <t>２　平成１８年３月２７日より平成１８年７月２日までの間に感染症法に基づき報告された新規エイズ患者数は１０６件、新規ＨＩＶ感染者数は２４８件であった。</t>
  </si>
  <si>
    <t>　　患者１０６件、感染者２４８件の内訳は、</t>
  </si>
  <si>
    <t>　①　感染原因別では、異性間の性的接触による患者４０件、感染者５３件、同性間の性的接触による患者４０件、感染者１６０件、静注薬物濫用による患者０件、感染者１件、母子感染による患者０件、感染者１件、その他の原因による患者５件、感染者１０件、原因不明の患者２１件、感染者２３件であった。</t>
  </si>
  <si>
    <t>　②　性別では男性患者９７件、感染者２２６件、女性患者９件、感染者２２件であった。</t>
  </si>
  <si>
    <t>　③　年齢区分別では、患者は２０代５件、３０代４１件、４０代２６件、５０歳以上３４件、感染者は１０歳未満１件、１０代８件、２０代６７件、３０代９６件、４０代４２件、５０歳以上３４件であった。</t>
  </si>
  <si>
    <t>　④　国籍別では日本人患者９１件、感染者２１０件、外国人患者１５件、感染者３８件であった。</t>
  </si>
  <si>
    <t>　⑤　感染地域別では、国内で感染した患者８４件、感染者２０９件、海外で感染した患者１８件、感染者２５件、感染地域不明患者４件、感染者１４件であった。</t>
  </si>
  <si>
    <t>３　患者１０６件、感染者２４８件のうち</t>
  </si>
  <si>
    <t>　①　異性間の性的接触による患者４０件、感染者５３件のうち日本人男性は、患者３２件、感染者２９件、日本人女性は、患者３件、感染者７件であった。</t>
  </si>
  <si>
    <t>　　　また、外国人男性は、患者４件、感染者８件、外国人女性は、患者１件、感染者９件であった。</t>
  </si>
  <si>
    <t>同性間の性的接触による患者４０件、感染者１６０件のうち日本人男性は、患者３８件、感染者１５２件であった。</t>
  </si>
  <si>
    <t>　　　また、外国人男性は、患者２件、感染者８件であった。</t>
  </si>
  <si>
    <t>　　　また、日本人女性患者５件のうち３０代４件、４０代１件、日本人女性感染者９件のうち、１０歳未満１件、２０代２件、３０代３件、４０代１件、５０歳以上２件であった。</t>
  </si>
  <si>
    <t>　③　外国人男性患者１１件のうち２０代１件、３０代５件、４０代４件、５０歳以上１件、外国人男性感染者２５件のうち２０代８件、３０代６件、４０代６件、５０歳以上５件であった。</t>
  </si>
  <si>
    <t>　　　また、外国人女性患者４件のうち３０代３件、４０代１件、外国人女性感染者１３件のうち２０代６件、３０代６件、４０代１件であった。</t>
  </si>
  <si>
    <t>　④　国内感染による患者８４件のうち日本人男性が７３件、日本人女性が１件、外国人男性が９件、外国人女性が１件であった。</t>
  </si>
  <si>
    <t>　　　また、国内感染による感染者２０９件のうち日本人男性が１８８件、日本人女性が５件、外国人男性が１３件、外国人女性が３件であった。</t>
  </si>
  <si>
    <t>　⑤　海外感染による患者１８件のうち日本人男性が１０件、日本人女性が４件、外国人男性が１件、外国人女性が３件であった。</t>
  </si>
  <si>
    <t>　　　また、海外感染による感染者２５件のうち日本人男性が８件、日本人女性が３件、外国人男性が８件、外国人女性が６件であった。</t>
  </si>
  <si>
    <t>４　任意報告により</t>
  </si>
  <si>
    <t>　①キャリア等からエイズ患者になったとの報告は１件であった。</t>
  </si>
  <si>
    <t>　②患者・感染者の死亡は、ＡＩＤＳが原因の４件、それ以外で１件であった。</t>
  </si>
  <si>
    <t>５　平成１８年４月から６月末までの保健所等におけるＨＩＶ抗体検査件数は</t>
  </si>
  <si>
    <t>２０，３６９件、自治体が実施する保健所以外の検査件数は５，６０４件、保健所等に</t>
  </si>
  <si>
    <t>おける相談件数は３９，３１７件であった。</t>
  </si>
  <si>
    <t>６　平成１８年１月から６月末までの献血件数２，４８０，０６３件（速報値）のうち、ＨＩＶ陽性件数は４８件であった。</t>
  </si>
  <si>
    <t>②　日本人男性患者８６件のうち２０代４件、３０代２９件、４０代２０件、５０歳以上３３件、日本人男性感染者２０１件のうち、１０代８件、</t>
  </si>
  <si>
    <t>２０代５１件、３０代８１件、４０代３４件、５０歳以上２７件であった。</t>
  </si>
  <si>
    <t>感染症法に基づくエイズ患者・感染者情報</t>
  </si>
  <si>
    <t>表１　　ＨＩＶ感染者及びＡＩＤＳ患者の国籍別、性別、感染経路別、年齢別、感染地域別報告数</t>
  </si>
  <si>
    <t>診断区分</t>
  </si>
  <si>
    <t>日本国籍</t>
  </si>
  <si>
    <t>外国国籍</t>
  </si>
  <si>
    <t>合計</t>
  </si>
  <si>
    <t>男</t>
  </si>
  <si>
    <t>女</t>
  </si>
  <si>
    <t>計</t>
  </si>
  <si>
    <t>項目</t>
  </si>
  <si>
    <t>区分</t>
  </si>
  <si>
    <t>今回</t>
  </si>
  <si>
    <t>前回</t>
  </si>
  <si>
    <t>ＨＩＶ感染者</t>
  </si>
  <si>
    <t>感染経路</t>
  </si>
  <si>
    <t>異性間の性的接触</t>
  </si>
  <si>
    <t>同性間の性的接触＊１</t>
  </si>
  <si>
    <t>静注薬物濫用</t>
  </si>
  <si>
    <t>母子感染</t>
  </si>
  <si>
    <t>その他＊２</t>
  </si>
  <si>
    <t>不明</t>
  </si>
  <si>
    <t>年齢</t>
  </si>
  <si>
    <t>１０歳未満</t>
  </si>
  <si>
    <t>１０～１９</t>
  </si>
  <si>
    <t>２０～２９</t>
  </si>
  <si>
    <t>３０～３９</t>
  </si>
  <si>
    <t>４０～４９</t>
  </si>
  <si>
    <t>５０歳以上</t>
  </si>
  <si>
    <t>感染地域</t>
  </si>
  <si>
    <t>国内</t>
  </si>
  <si>
    <t>海外</t>
  </si>
  <si>
    <t>ＡＩＤＳ患者</t>
  </si>
  <si>
    <t>＊１　両性間性的接触を含む。</t>
  </si>
  <si>
    <t>＊２　輸血などに伴う感染例や推定される感染経路が複数ある例を含む。</t>
  </si>
  <si>
    <t xml:space="preserve">　〔平成18年3月27日～平成18年7月2日〕 </t>
  </si>
  <si>
    <t>ＨＩＶ合計</t>
  </si>
  <si>
    <t>－</t>
  </si>
  <si>
    <r>
      <t>表２　平成18年7月2日現在のＨＩＶ感染者及びＡＩＤＳ患者の国籍別、性別、感染経路別報告数の累計</t>
    </r>
    <r>
      <rPr>
        <vertAlign val="superscript"/>
        <sz val="11"/>
        <rFont val="ＭＳ Ｐゴシック"/>
        <family val="3"/>
      </rPr>
      <t>＊１</t>
    </r>
  </si>
  <si>
    <r>
      <t>同性間の性的接触</t>
    </r>
    <r>
      <rPr>
        <vertAlign val="superscript"/>
        <sz val="11"/>
        <rFont val="ＭＳ Ｐゴシック"/>
        <family val="3"/>
      </rPr>
      <t>＊２</t>
    </r>
  </si>
  <si>
    <r>
      <t>その他</t>
    </r>
    <r>
      <rPr>
        <vertAlign val="superscript"/>
        <sz val="11"/>
        <rFont val="ＭＳ Ｐゴシック"/>
        <family val="3"/>
      </rPr>
      <t>＊３</t>
    </r>
  </si>
  <si>
    <r>
      <t>AIDS合計</t>
    </r>
    <r>
      <rPr>
        <vertAlign val="superscript"/>
        <sz val="11"/>
        <rFont val="ＭＳ Ｐゴシック"/>
        <family val="3"/>
      </rPr>
      <t>＊４</t>
    </r>
  </si>
  <si>
    <r>
      <t>凝固因子製剤による感染者</t>
    </r>
    <r>
      <rPr>
        <vertAlign val="superscript"/>
        <sz val="11"/>
        <rFont val="ＭＳ Ｐゴシック"/>
        <family val="3"/>
      </rPr>
      <t>＊５</t>
    </r>
  </si>
  <si>
    <t>＊１　平成17年までは確定値、平成18年は平成18年7月2日現在の速報値である。</t>
  </si>
  <si>
    <t>＊２　両性間性的接触を含む。</t>
  </si>
  <si>
    <t>＊３　輸血などに伴う感染例や推定される感染経路が複数ある例を含む。</t>
  </si>
  <si>
    <t>＊４　平成11年3月31日までの病状変化によるＡＩＤＳ患者報告数154件を含む。</t>
  </si>
  <si>
    <t>＊５　「血液凝固異常症全国調査」による2005年5月31日現在の凝固因子製剤による感染者数</t>
  </si>
  <si>
    <t>※死亡者報告数</t>
  </si>
  <si>
    <t>　感染症法施行後の任意報告数（平成11年4月1日～平成18年6月30日）</t>
  </si>
  <si>
    <t>名</t>
  </si>
  <si>
    <r>
      <t>　</t>
    </r>
    <r>
      <rPr>
        <sz val="11"/>
        <rFont val="ＭＳ Ｐゴシック"/>
        <family val="3"/>
      </rPr>
      <t>エイズ予防法</t>
    </r>
    <r>
      <rPr>
        <vertAlign val="superscript"/>
        <sz val="11"/>
        <rFont val="ＭＳ Ｐゴシック"/>
        <family val="3"/>
      </rPr>
      <t>＊６</t>
    </r>
    <r>
      <rPr>
        <sz val="11"/>
        <rFont val="ＭＳ Ｐゴシック"/>
        <family val="3"/>
      </rPr>
      <t>に基づく法定報告数（平成元年2月17日～平成11年3月31日）</t>
    </r>
  </si>
  <si>
    <r>
      <t>　</t>
    </r>
    <r>
      <rPr>
        <sz val="11"/>
        <rFont val="ＭＳ Ｐゴシック"/>
        <family val="3"/>
      </rPr>
      <t>凝固因子製剤による感染者の累積死亡者数</t>
    </r>
    <r>
      <rPr>
        <vertAlign val="superscript"/>
        <sz val="11"/>
        <rFont val="ＭＳ Ｐゴシック"/>
        <family val="3"/>
      </rPr>
      <t>＊７</t>
    </r>
  </si>
  <si>
    <t>＊６　エイズ予防法第５条に基づき、血液凝固因子製剤による感染者を除く。</t>
  </si>
  <si>
    <r>
      <t>＊７　「血液凝固異常症全国調査」による200</t>
    </r>
    <r>
      <rPr>
        <sz val="11"/>
        <rFont val="ＭＳ Ｐゴシック"/>
        <family val="3"/>
      </rPr>
      <t>5</t>
    </r>
    <r>
      <rPr>
        <sz val="11"/>
        <rFont val="ＭＳ Ｐゴシック"/>
        <family val="3"/>
      </rPr>
      <t>年5月31日現在の報告数</t>
    </r>
  </si>
  <si>
    <t>ブロック名</t>
  </si>
  <si>
    <t>都道府県名</t>
  </si>
  <si>
    <t>前回累積件数</t>
  </si>
  <si>
    <t>北海道</t>
  </si>
  <si>
    <t>（</t>
  </si>
  <si>
    <t>%）</t>
  </si>
  <si>
    <t>東北</t>
  </si>
  <si>
    <t>青森県</t>
  </si>
  <si>
    <t>岩手県</t>
  </si>
  <si>
    <t>宮城県</t>
  </si>
  <si>
    <t>秋田県</t>
  </si>
  <si>
    <t>山形県</t>
  </si>
  <si>
    <t>福島県</t>
  </si>
  <si>
    <t>ブロック計</t>
  </si>
  <si>
    <t>関東・甲信越</t>
  </si>
  <si>
    <t>茨城県</t>
  </si>
  <si>
    <t>栃木県</t>
  </si>
  <si>
    <t>群馬県</t>
  </si>
  <si>
    <t>埼玉県</t>
  </si>
  <si>
    <t>千葉県</t>
  </si>
  <si>
    <t>東京都</t>
  </si>
  <si>
    <t>神奈川県</t>
  </si>
  <si>
    <t>新潟県</t>
  </si>
  <si>
    <t>山梨県</t>
  </si>
  <si>
    <t>長野県</t>
  </si>
  <si>
    <t>北陸</t>
  </si>
  <si>
    <t>富山県</t>
  </si>
  <si>
    <t>石川県</t>
  </si>
  <si>
    <t>福井県</t>
  </si>
  <si>
    <t>東海</t>
  </si>
  <si>
    <t>岐阜県</t>
  </si>
  <si>
    <t>静岡県</t>
  </si>
  <si>
    <t>愛知県</t>
  </si>
  <si>
    <t>三重県</t>
  </si>
  <si>
    <t>近畿</t>
  </si>
  <si>
    <t>滋賀県</t>
  </si>
  <si>
    <t>京都府</t>
  </si>
  <si>
    <t>大阪府</t>
  </si>
  <si>
    <t>兵庫県</t>
  </si>
  <si>
    <t>奈良県</t>
  </si>
  <si>
    <t>和歌山県</t>
  </si>
  <si>
    <t>中国・四国</t>
  </si>
  <si>
    <t>鳥取県</t>
  </si>
  <si>
    <t>島根県</t>
  </si>
  <si>
    <t>岡山県</t>
  </si>
  <si>
    <t>広島県</t>
  </si>
  <si>
    <t>山口県</t>
  </si>
  <si>
    <t>徳島県</t>
  </si>
  <si>
    <t>香川県</t>
  </si>
  <si>
    <t>愛媛県</t>
  </si>
  <si>
    <t>高知県</t>
  </si>
  <si>
    <t>九州・沖縄</t>
  </si>
  <si>
    <t>福岡県</t>
  </si>
  <si>
    <t>佐賀県</t>
  </si>
  <si>
    <t>長崎県</t>
  </si>
  <si>
    <t>熊本県</t>
  </si>
  <si>
    <t>大分県</t>
  </si>
  <si>
    <t>宮崎県</t>
  </si>
  <si>
    <t>鹿児島県</t>
  </si>
  <si>
    <t>沖縄県</t>
  </si>
  <si>
    <t>表３　ＨＩＶ感染者及びＡＩＤＳ患者の都道府県別累積報告状況</t>
  </si>
  <si>
    <t>今回報告</t>
  </si>
  <si>
    <t>前回報告</t>
  </si>
  <si>
    <t>累積報告</t>
  </si>
  <si>
    <t>今回報告</t>
  </si>
  <si>
    <t>前回報告</t>
  </si>
  <si>
    <t>都道府県</t>
  </si>
  <si>
    <t>第１四半期</t>
  </si>
  <si>
    <t>第２四半期</t>
  </si>
  <si>
    <t>第４四半期</t>
  </si>
  <si>
    <t>１月～３月</t>
  </si>
  <si>
    <t>４月～６月</t>
  </si>
  <si>
    <t>10月～12月</t>
  </si>
  <si>
    <t>年　計</t>
  </si>
  <si>
    <t>保健所等における相談件数</t>
  </si>
  <si>
    <t>　</t>
  </si>
  <si>
    <t>（単位：件）</t>
  </si>
  <si>
    <t>平成10年</t>
  </si>
  <si>
    <t>平成11年</t>
  </si>
  <si>
    <t>平成12年</t>
  </si>
  <si>
    <t>平成13年</t>
  </si>
  <si>
    <t>平成14年</t>
  </si>
  <si>
    <t>平成15年</t>
  </si>
  <si>
    <t>平成16年</t>
  </si>
  <si>
    <t>平成17年</t>
  </si>
  <si>
    <t>平成18年</t>
  </si>
  <si>
    <t>年間</t>
  </si>
  <si>
    <t>第３四半期</t>
  </si>
  <si>
    <t>第２四半期</t>
  </si>
  <si>
    <t>第３四半期</t>
  </si>
  <si>
    <t>第４四半期</t>
  </si>
  <si>
    <t>７月～９月</t>
  </si>
  <si>
    <t>４月～６月</t>
  </si>
  <si>
    <t>７月～９月</t>
  </si>
  <si>
    <t>10月～12月</t>
  </si>
  <si>
    <t>保健所等におけるＨＩＶ抗体検査件数</t>
  </si>
  <si>
    <t>　</t>
  </si>
  <si>
    <t>第２四半期</t>
  </si>
  <si>
    <t>第３四半期</t>
  </si>
  <si>
    <t>第４四半期</t>
  </si>
  <si>
    <t>(4,180)</t>
  </si>
  <si>
    <t>(4,402)</t>
  </si>
  <si>
    <t>(4,724)</t>
  </si>
  <si>
    <t>(6,082)</t>
  </si>
  <si>
    <t>(5,338)</t>
  </si>
  <si>
    <t>(5,604)</t>
  </si>
  <si>
    <t>（　）内は、自治体が実施する保健所以外の検査件数（別掲）</t>
  </si>
  <si>
    <t>献血件数及びＨＩＶ抗体・核酸増幅検査陽性件数</t>
  </si>
  <si>
    <t>陽性件数</t>
  </si>
  <si>
    <t>（ ）内女性</t>
  </si>
  <si>
    <t xml:space="preserve">                                         </t>
  </si>
  <si>
    <t>　　平成１８年８月２２日（火）</t>
  </si>
  <si>
    <t>　　照会先：医薬食品局血液対策課</t>
  </si>
  <si>
    <t>　　担当者：武末，秋楽</t>
  </si>
  <si>
    <t>　　TEL:03-5253-1111(内線)2905,2904</t>
  </si>
  <si>
    <t xml:space="preserve">  　　  03-3595-2395(直通)</t>
  </si>
  <si>
    <t xml:space="preserve">            年</t>
  </si>
  <si>
    <t xml:space="preserve">  献 　 血 　 件 　 数</t>
  </si>
  <si>
    <t>［ ］内核酸</t>
  </si>
  <si>
    <t xml:space="preserve"> 10万件</t>
  </si>
  <si>
    <t xml:space="preserve">  （ 検 査 実 施 数 ）</t>
  </si>
  <si>
    <t>　　増幅検査</t>
  </si>
  <si>
    <t xml:space="preserve"> 当たり</t>
  </si>
  <si>
    <t>　　のみ陽性</t>
  </si>
  <si>
    <t xml:space="preserve">                      件</t>
  </si>
  <si>
    <t xml:space="preserve">    　  件</t>
  </si>
  <si>
    <t xml:space="preserve">      件</t>
  </si>
  <si>
    <t xml:space="preserve"> １９８７年　 (昭和62年)</t>
  </si>
  <si>
    <t>　　１１( 1)</t>
  </si>
  <si>
    <t xml:space="preserve"> １９８８年　 (昭和63年)</t>
  </si>
  <si>
    <t xml:space="preserve"> 　　９( 1)</t>
  </si>
  <si>
    <t xml:space="preserve"> １９８９年 　(平成 元年)</t>
  </si>
  <si>
    <t>　　１３( 1)</t>
  </si>
  <si>
    <t xml:space="preserve"> １９９０年　 (平成 2年)</t>
  </si>
  <si>
    <t>　　２６( 6)</t>
  </si>
  <si>
    <t xml:space="preserve"> １９９１年　 (平成 3年)</t>
  </si>
  <si>
    <t>　　２９( 4)</t>
  </si>
  <si>
    <t xml:space="preserve"> １９９２年　 (平成 4年)</t>
  </si>
  <si>
    <t>　　３４( 7)</t>
  </si>
  <si>
    <t xml:space="preserve"> １９９３年 　(平成 5年)</t>
  </si>
  <si>
    <t>　　３５( 5)</t>
  </si>
  <si>
    <t xml:space="preserve"> １９９４年 　(平成 6年)</t>
  </si>
  <si>
    <t>　　３６( 5)</t>
  </si>
  <si>
    <t xml:space="preserve"> １９９５年　 (平成 7年)</t>
  </si>
  <si>
    <t>　　４６( 9)</t>
  </si>
  <si>
    <t xml:space="preserve"> １９９６年 　(平成 8年)</t>
  </si>
  <si>
    <t>　　４６( 5)</t>
  </si>
  <si>
    <t xml:space="preserve"> １９９７年 　(平成 9年)</t>
  </si>
  <si>
    <t xml:space="preserve">    ５４( 5)</t>
  </si>
  <si>
    <t xml:space="preserve"> １９９８年　 (平成10年)</t>
  </si>
  <si>
    <t xml:space="preserve">    ５６( 4)</t>
  </si>
  <si>
    <t xml:space="preserve"> １９９９年 　(平成11年)</t>
  </si>
  <si>
    <t xml:space="preserve">  　６４( 6)</t>
  </si>
  <si>
    <t xml:space="preserve"> ２０００年　（平成12年）</t>
  </si>
  <si>
    <t xml:space="preserve">    ６７( 1)</t>
  </si>
  <si>
    <t xml:space="preserve">         [3]</t>
  </si>
  <si>
    <t xml:space="preserve"> ２００１年　（平成13年）</t>
  </si>
  <si>
    <t xml:space="preserve">    ７９( 1)</t>
  </si>
  <si>
    <t xml:space="preserve">         [1]</t>
  </si>
  <si>
    <t xml:space="preserve"> ２００２年　（平成14年）</t>
  </si>
  <si>
    <t xml:space="preserve">    ８２( 5)</t>
  </si>
  <si>
    <t xml:space="preserve">         [2]</t>
  </si>
  <si>
    <t xml:space="preserve"> ２００３年　（平成15年）</t>
  </si>
  <si>
    <t xml:space="preserve">    ８７( 8)</t>
  </si>
  <si>
    <t xml:space="preserve"> ２００４年　（平成16年）</t>
  </si>
  <si>
    <t xml:space="preserve">    ９２( 4)</t>
  </si>
  <si>
    <t xml:space="preserve"> ２００５年　（平成17年）</t>
  </si>
  <si>
    <t xml:space="preserve">    ７８( 3)</t>
  </si>
  <si>
    <t xml:space="preserve"> ２００６年　（平成18年）</t>
  </si>
  <si>
    <t xml:space="preserve">  　  （速報値）</t>
  </si>
  <si>
    <t xml:space="preserve">    ４８( 3)</t>
  </si>
  <si>
    <t>（１月～６月まで集計）</t>
  </si>
  <si>
    <t>　　　 [1]</t>
  </si>
  <si>
    <t>　（注１）・ 昭和６１年は、年中途から実施したことなどから、3,146,940件、</t>
  </si>
  <si>
    <t xml:space="preserve">　　うち、陽性件数１１件（女性０）となっている。      </t>
  </si>
  <si>
    <t xml:space="preserve">　（注２）・ 抗体検査陽性の血液は廃棄され、製剤には使用されない。 </t>
  </si>
  <si>
    <t xml:space="preserve"> ・ 核酸増幅検査については、平成１１年１０月より全国的に実施している。</t>
  </si>
  <si>
    <t xml:space="preserve">   (注３)・ 平成１８年は、１月～６月までを集計した速報値。</t>
  </si>
  <si>
    <t>委員長コメント</t>
  </si>
  <si>
    <t>【平成18年第2四半期】</t>
  </si>
  <si>
    <t>１　今回の報告期間は平成18年3月27日から平成18年7月2日までの約３か月である。法定報告に基づく新規ＨＩＶ感染者報告数は248件（うち男性226件、女性22件。前</t>
  </si>
  <si>
    <r>
      <t>回報告198件）で過去最高となった。前年同時期の新規ＨＩＶ感染者報告数は</t>
    </r>
    <r>
      <rPr>
        <sz val="12"/>
        <rFont val="ＭＳ 明朝"/>
        <family val="1"/>
      </rPr>
      <t>171件</t>
    </r>
    <r>
      <rPr>
        <sz val="12"/>
        <color indexed="8"/>
        <rFont val="ＭＳ 明朝"/>
        <family val="1"/>
      </rPr>
      <t>である。</t>
    </r>
  </si>
  <si>
    <r>
      <t>一方、新規ＡＩＤＳ患者報告数は106件（うち男性97件、女性9件。前回報告92件）であり、過去二位となった。前年同時期の新規ＡＩＤＳ患者報告数</t>
    </r>
    <r>
      <rPr>
        <sz val="12"/>
        <rFont val="ＭＳ 明朝"/>
        <family val="1"/>
      </rPr>
      <t>は89件</t>
    </r>
    <r>
      <rPr>
        <sz val="12"/>
        <color indexed="8"/>
        <rFont val="ＭＳ 明朝"/>
        <family val="1"/>
      </rPr>
      <t>である。</t>
    </r>
  </si>
  <si>
    <t>２　感染経路別に見ると、新規ＨＩＶ感染者では同性間性的接触によるものが160件（全ＨＩＶ感染者報告数の約65％）と最も多く、そのうち152件が日本国籍男性であった。</t>
  </si>
  <si>
    <t>　　また、異性間性的接触による新規感染者報告数は53件（全ＨＩＶ感染者報告数の約21％、うち男性37件、女性16件）である。</t>
  </si>
  <si>
    <t>　　一方、新規ＡＩＤＳ患者では同性間性的接触によるものが40件（全ＡＩＤＳ患者報告数の約38％）、異性間性的接触によるものが40件（全ＡＩＤＳ患者報告数の約38％、うち男性36件、女性4件）となっている。</t>
  </si>
  <si>
    <r>
      <t>　　年齢別では、新規ＨＩＶ感染者は20～30代が多数</t>
    </r>
    <r>
      <rPr>
        <sz val="12"/>
        <rFont val="ＭＳ 明朝"/>
        <family val="1"/>
      </rPr>
      <t>（約66％）を占めるが（前回約77%）、40代～50代以上が占める割合が増えている（約31%）（前回約22%）。新規ＡＩＤＳ</t>
    </r>
    <r>
      <rPr>
        <sz val="12"/>
        <color indexed="8"/>
        <rFont val="ＭＳ 明朝"/>
        <family val="1"/>
      </rPr>
      <t>患者は30～50代以上に広く分布している。</t>
    </r>
  </si>
  <si>
    <t xml:space="preserve">    要約すると、感染者・患者とも91％以上を男性が占め、その中でも同性間性的接触による感染が約62％を占めている状態であるが、40代と50歳以上の増加が特徴的であった。</t>
  </si>
  <si>
    <t>３　平成18年4月～6月末までの保健所におけるＨＩＶ抗体検査件数は20,369件(前年同時期16,398件)、自治体が実施する保健所以外の検査件数は5,604 件（前年同時期4,402件）、保健所等における相談件数は39,317件（前年同時期34,644件）となっており、保健所及び保健所以外における検査件数、保健所等の相談件数はいずれも前年同時期より増加した。</t>
  </si>
  <si>
    <t>４．平成18年１月から６月の献血件数（速報値）は2,480,063件（前年同時期2,725,863件）で、そのうちＨＩＶ抗体・核酸増幅検査陽性件数は48件、10万人当たりの陽性人数は1.935件（前年同時期1.321件）であった。</t>
  </si>
  <si>
    <t>　　前年同時期と比較し、陽性率が高かった。</t>
  </si>
  <si>
    <r>
      <t>５．この四半期における新規ＨＩＶ感染者報告数及びＡＩＤＳ患者報告数はいずれも前回報告を超え増加傾向にあり、その合計数は過去最高となった。また、保健所及び保健所以外における検査件数、保健所等の相談件数においては前年同時期より増加した。新規ＨＩＶ感染者報告数を感染経路別に見ると、男性同性間性的接触は依然半数を超え、若年層</t>
    </r>
    <r>
      <rPr>
        <sz val="12"/>
        <rFont val="ＭＳ 明朝"/>
        <family val="1"/>
      </rPr>
      <t>にＨＩ</t>
    </r>
    <r>
      <rPr>
        <sz val="12"/>
        <color indexed="8"/>
        <rFont val="ＭＳ 明朝"/>
        <family val="1"/>
      </rPr>
      <t>Ｖ感染が広がっているものの、40代、50歳以上にも増加が認められる。若年層の感染者及び患者報告数の増加よりも、40歳以上の感染者及び患者報告数が大幅に増加したことは利用者の利便性に配慮した検査・相談事業を推進した結果によるものと思われ、ＨＩＶ検査普及週間など、検査体制の整備について一定の成果が認められる。</t>
    </r>
  </si>
  <si>
    <t>各自治体においては保健所等を中心に、利用者の利便性（夜間・休日等）に配慮した検査・相談事業を推進することが重要であり、ＨＩＶ感染の早期発見による早期治療と感染拡大の抑制に努める必要がある。国民はＨＩＶ・ＡＩＤＳについての理解を深め、積極的に予防に努め、ＨＩＶ抗体検査の早期受診に努めるべきである。また、各自治体（特に重点都道府県等）においては、今回の発生動向を考慮しつつ、エイズ対策推進協議会を開催し、予防も含めエイズ対策計画を早急に策定の上、より一層のエイズ対策を推進されたい。</t>
  </si>
  <si>
    <t>参考資料</t>
  </si>
  <si>
    <t>（２）重点都道府県等のエイズ対策に関する取組状況（平成１８年８月現在）</t>
  </si>
  <si>
    <t>平成１８年度ＨＩＶ検査・相談体制①</t>
  </si>
  <si>
    <t>夜間検査</t>
  </si>
  <si>
    <t>休日検査</t>
  </si>
  <si>
    <t>迅速検査</t>
  </si>
  <si>
    <t>平常</t>
  </si>
  <si>
    <t>週間</t>
  </si>
  <si>
    <t>都道府県（４７）</t>
  </si>
  <si>
    <t>●</t>
  </si>
  <si>
    <t>○</t>
  </si>
  <si>
    <t>中核市（３６）</t>
  </si>
  <si>
    <t>旭川市</t>
  </si>
  <si>
    <t>青森県</t>
  </si>
  <si>
    <t>函館市</t>
  </si>
  <si>
    <t>○</t>
  </si>
  <si>
    <t>岩手県</t>
  </si>
  <si>
    <t>秋田市</t>
  </si>
  <si>
    <t>宮城県</t>
  </si>
  <si>
    <t>郡山市</t>
  </si>
  <si>
    <t>秋田県</t>
  </si>
  <si>
    <t>いわき市</t>
  </si>
  <si>
    <t>山形県</t>
  </si>
  <si>
    <t>宇都宮市</t>
  </si>
  <si>
    <t>福島県</t>
  </si>
  <si>
    <t>川越市</t>
  </si>
  <si>
    <t>茨城県</t>
  </si>
  <si>
    <t>船橋市</t>
  </si>
  <si>
    <t>栃木県</t>
  </si>
  <si>
    <t>横須賀市</t>
  </si>
  <si>
    <t>群馬県</t>
  </si>
  <si>
    <t>相模原市</t>
  </si>
  <si>
    <t>埼玉県</t>
  </si>
  <si>
    <t>新潟市</t>
  </si>
  <si>
    <t>千葉県</t>
  </si>
  <si>
    <t>富山市</t>
  </si>
  <si>
    <t>東京都</t>
  </si>
  <si>
    <t>金沢市</t>
  </si>
  <si>
    <t>神奈川県</t>
  </si>
  <si>
    <t>長野市</t>
  </si>
  <si>
    <t>新潟県</t>
  </si>
  <si>
    <t>岐阜市</t>
  </si>
  <si>
    <t>富山県</t>
  </si>
  <si>
    <t>浜松市</t>
  </si>
  <si>
    <t>石川県</t>
  </si>
  <si>
    <t>豊田市</t>
  </si>
  <si>
    <t>福井県</t>
  </si>
  <si>
    <t>岡崎市</t>
  </si>
  <si>
    <t>山梨県</t>
  </si>
  <si>
    <t>豊橋市</t>
  </si>
  <si>
    <t>長野県</t>
  </si>
  <si>
    <t>高槻市</t>
  </si>
  <si>
    <t>岐阜県</t>
  </si>
  <si>
    <t>東大阪市</t>
  </si>
  <si>
    <t>静岡県</t>
  </si>
  <si>
    <t>姫路市</t>
  </si>
  <si>
    <t>愛知県</t>
  </si>
  <si>
    <t>奈良市</t>
  </si>
  <si>
    <t>三重県</t>
  </si>
  <si>
    <t>和歌山市</t>
  </si>
  <si>
    <t>滋賀県</t>
  </si>
  <si>
    <t>岡山市</t>
  </si>
  <si>
    <t>京都府</t>
  </si>
  <si>
    <t>倉敷市</t>
  </si>
  <si>
    <t>大阪府</t>
  </si>
  <si>
    <t>下関市</t>
  </si>
  <si>
    <t>兵庫県</t>
  </si>
  <si>
    <t>福山市</t>
  </si>
  <si>
    <t>奈良県</t>
  </si>
  <si>
    <t>高松市</t>
  </si>
  <si>
    <t>和歌山県</t>
  </si>
  <si>
    <t>松山市</t>
  </si>
  <si>
    <t>鳥取県</t>
  </si>
  <si>
    <t>高知市</t>
  </si>
  <si>
    <t>島根県</t>
  </si>
  <si>
    <t>長崎市</t>
  </si>
  <si>
    <t>岡山県</t>
  </si>
  <si>
    <t>熊本市</t>
  </si>
  <si>
    <t>広島県</t>
  </si>
  <si>
    <t>大分市</t>
  </si>
  <si>
    <t>山口県</t>
  </si>
  <si>
    <t>宮崎市</t>
  </si>
  <si>
    <t>徳島県</t>
  </si>
  <si>
    <t>鹿児島市</t>
  </si>
  <si>
    <t>香川県</t>
  </si>
  <si>
    <t>保健所設置市（7）</t>
  </si>
  <si>
    <t>小樽市</t>
  </si>
  <si>
    <t>愛媛県</t>
  </si>
  <si>
    <t>尼崎市</t>
  </si>
  <si>
    <t>高知県</t>
  </si>
  <si>
    <t>西宮市</t>
  </si>
  <si>
    <t>福岡県</t>
  </si>
  <si>
    <t>呉市</t>
  </si>
  <si>
    <t>佐賀県</t>
  </si>
  <si>
    <t>大牟田市</t>
  </si>
  <si>
    <t>長崎県</t>
  </si>
  <si>
    <t>佐世保市</t>
  </si>
  <si>
    <t>熊本県</t>
  </si>
  <si>
    <t>藤沢市</t>
  </si>
  <si>
    <t>大分県</t>
  </si>
  <si>
    <t>特別区（２３）</t>
  </si>
  <si>
    <t>千代田区</t>
  </si>
  <si>
    <t>宮崎県</t>
  </si>
  <si>
    <t>中央区</t>
  </si>
  <si>
    <t>鹿児島県</t>
  </si>
  <si>
    <t>港区</t>
  </si>
  <si>
    <t>沖縄県</t>
  </si>
  <si>
    <t>新宿区</t>
  </si>
  <si>
    <t>指定都市（１５）</t>
  </si>
  <si>
    <t>札幌市</t>
  </si>
  <si>
    <t>文京区</t>
  </si>
  <si>
    <t>仙台市</t>
  </si>
  <si>
    <t>台東区</t>
  </si>
  <si>
    <t>さいたま市</t>
  </si>
  <si>
    <t>墨田区</t>
  </si>
  <si>
    <t>千葉市</t>
  </si>
  <si>
    <t>江東区</t>
  </si>
  <si>
    <t>川崎市</t>
  </si>
  <si>
    <t>品川区</t>
  </si>
  <si>
    <t>横浜市</t>
  </si>
  <si>
    <t>目黒区</t>
  </si>
  <si>
    <t>静岡市</t>
  </si>
  <si>
    <t>大田区</t>
  </si>
  <si>
    <t>名古屋市</t>
  </si>
  <si>
    <t>世田谷区</t>
  </si>
  <si>
    <t>京都市</t>
  </si>
  <si>
    <t>渋谷区</t>
  </si>
  <si>
    <t>大阪市</t>
  </si>
  <si>
    <t>中野区</t>
  </si>
  <si>
    <t>堺市</t>
  </si>
  <si>
    <t>杉並区</t>
  </si>
  <si>
    <t>神戸市</t>
  </si>
  <si>
    <t>豊島区</t>
  </si>
  <si>
    <t>広島市</t>
  </si>
  <si>
    <t>北区</t>
  </si>
  <si>
    <t>福岡市</t>
  </si>
  <si>
    <t>荒川区</t>
  </si>
  <si>
    <t>北九州市</t>
  </si>
  <si>
    <t>板橋区</t>
  </si>
  <si>
    <t>練馬区</t>
  </si>
  <si>
    <t>足立区</t>
  </si>
  <si>
    <t>葛飾区</t>
  </si>
  <si>
    <t>江戸川区</t>
  </si>
  <si>
    <t>計</t>
  </si>
  <si>
    <t>割合(%)</t>
  </si>
  <si>
    <t>○</t>
  </si>
  <si>
    <t>●</t>
  </si>
  <si>
    <t xml:space="preserve"> </t>
  </si>
  <si>
    <t>（１）平成１８年度ＨＩＶ検査・相談体制</t>
  </si>
  <si>
    <t>-</t>
  </si>
  <si>
    <t>有</t>
  </si>
  <si>
    <t>重点都道府県等のエイズ対策に関する取組状況
（１８年８月現在）</t>
  </si>
  <si>
    <t>自治体</t>
  </si>
  <si>
    <t>エイズ対策推進協議会（回数）</t>
  </si>
  <si>
    <t>エイズ対策
計画</t>
  </si>
  <si>
    <t>中核拠点病院
設置予定時期</t>
  </si>
  <si>
    <t>個別施策層に対する取り組み（○ 実施　　- 未実施）</t>
  </si>
  <si>
    <t>青少年</t>
  </si>
  <si>
    <t>ＭＳＭ</t>
  </si>
  <si>
    <t>外国人</t>
  </si>
  <si>
    <t>性風俗
従事者等</t>
  </si>
  <si>
    <t>茨城県</t>
  </si>
  <si>
    <t>有（１）</t>
  </si>
  <si>
    <t>無</t>
  </si>
  <si>
    <t>未定</t>
  </si>
  <si>
    <t>○</t>
  </si>
  <si>
    <t>埼玉県</t>
  </si>
  <si>
    <t>千葉県</t>
  </si>
  <si>
    <t>有（0）</t>
  </si>
  <si>
    <t>東京都</t>
  </si>
  <si>
    <t>有（２）</t>
  </si>
  <si>
    <t>有</t>
  </si>
  <si>
    <t>神奈川県</t>
  </si>
  <si>
    <t>３月</t>
  </si>
  <si>
    <t>山梨県</t>
  </si>
  <si>
    <t>長野県</t>
  </si>
  <si>
    <t>愛知県</t>
  </si>
  <si>
    <t>大阪府</t>
  </si>
  <si>
    <t>沖縄県</t>
  </si>
  <si>
    <t>１０月</t>
  </si>
  <si>
    <t>○</t>
  </si>
  <si>
    <t>千葉市</t>
  </si>
  <si>
    <t>横浜市</t>
  </si>
  <si>
    <t>川崎市</t>
  </si>
  <si>
    <t>有（３）</t>
  </si>
  <si>
    <t>名古屋市</t>
  </si>
  <si>
    <t>大阪市</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</si>
</sst>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eneral\)"/>
    <numFmt numFmtId="180" formatCode="0_ "/>
    <numFmt numFmtId="181" formatCode="&quot;△&quot;\ #,##0;&quot;▲&quot;\ #,##0"/>
    <numFmt numFmtId="182" formatCode="0.0_ "/>
    <numFmt numFmtId="183" formatCode="#,##0_ "/>
    <numFmt numFmtId="184" formatCode="#,##0_);[Red]\(#,##0\)"/>
    <numFmt numFmtId="185" formatCode="#,##0.0_);[Red]\(#,##0.0\)"/>
    <numFmt numFmtId="186" formatCode="0.0000"/>
    <numFmt numFmtId="187" formatCode="0.000"/>
    <numFmt numFmtId="188" formatCode="0.0"/>
    <numFmt numFmtId="189" formatCode="#,##0.0;[Red]\-#,##0.0"/>
    <numFmt numFmtId="190" formatCode="0.00000"/>
    <numFmt numFmtId="191" formatCode="0.0000000"/>
    <numFmt numFmtId="192" formatCode="#,##0.000;[Red]\-#,##0.000"/>
    <numFmt numFmtId="193" formatCode="#,##0.0_ ;[Red]\-#,##0.0\ "/>
    <numFmt numFmtId="194" formatCode="0.0_);[Red]\(0.0\)"/>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 #,##0_);_(* \(#,##0\);_(* &quot;-&quot;_);_(@_)"/>
    <numFmt numFmtId="201" formatCode="_(&quot;$&quot;* #,##0.00_);_(&quot;$&quot;* \(#,##0.00\);_(&quot;$&quot;* &quot;-&quot;??_);_(@_)"/>
    <numFmt numFmtId="202" formatCode="_(* #,##0.00_);_(* \(#,##0.00\);_(* &quot;-&quot;??_);_(@_)"/>
    <numFmt numFmtId="203" formatCode="&quot;$&quot;#,##0;&quot;$&quot;\-#,##0"/>
    <numFmt numFmtId="204" formatCode="&quot;$&quot;#,##0;[Red]&quot;$&quot;\-#,##0"/>
    <numFmt numFmtId="205" formatCode="&quot;$&quot;#,##0.00;&quot;$&quot;\-#,##0.00"/>
    <numFmt numFmtId="206" formatCode="&quot;$&quot;#,##0.00;[Red]&quot;$&quot;\-#,##0.00"/>
    <numFmt numFmtId="207" formatCode="_ &quot;$&quot;* #,##0_ ;_ &quot;$&quot;* \-#,##0_ ;_ &quot;$&quot;* &quot;-&quot;_ ;_ @_ "/>
    <numFmt numFmtId="208" formatCode="_ &quot;$&quot;* #,##0.00_ ;_ &quot;$&quot;* \-#,##0.00_ ;_ &quot;$&quot;* &quot;-&quot;??_ ;_ @_ "/>
    <numFmt numFmtId="209" formatCode="#,##0.0"/>
    <numFmt numFmtId="210" formatCode="\(0\)"/>
    <numFmt numFmtId="211" formatCode="_(0\)"/>
    <numFmt numFmtId="212" formatCode="\ \(0\)"/>
    <numFmt numFmtId="213" formatCode="#,##0_);\(#,##0\)"/>
    <numFmt numFmtId="214" formatCode="\ 0"/>
    <numFmt numFmtId="215" formatCode="#,##0_ ;[Red]\-#,##0\ "/>
    <numFmt numFmtId="216" formatCode="#\ ?/4"/>
    <numFmt numFmtId="217" formatCode="\(General"/>
    <numFmt numFmtId="218" formatCode="&quot;〔&quot;General&quot;〕&quot;"/>
    <numFmt numFmtId="219" formatCode="#,##0.000"/>
    <numFmt numFmtId="220" formatCode="#,##0.0000"/>
    <numFmt numFmtId="221" formatCode="#,##0.00000"/>
    <numFmt numFmtId="222" formatCode="\(#,##0\)"/>
    <numFmt numFmtId="223" formatCode="0_);[Red]\(0\)"/>
    <numFmt numFmtId="224" formatCode="0%;&quot;△&quot;0%"/>
    <numFmt numFmtId="225" formatCode=";;;"/>
  </numFmts>
  <fonts count="77">
    <font>
      <sz val="11"/>
      <name val="ＭＳ Ｐゴシック"/>
      <family val="3"/>
    </font>
    <font>
      <sz val="6"/>
      <name val="ＭＳ Ｐゴシック"/>
      <family val="3"/>
    </font>
    <font>
      <sz val="10.5"/>
      <color indexed="8"/>
      <name val="Times New Roman"/>
      <family val="1"/>
    </font>
    <font>
      <sz val="10.5"/>
      <color indexed="8"/>
      <name val="ＭＳ 明朝"/>
      <family val="1"/>
    </font>
    <font>
      <u val="single"/>
      <sz val="11"/>
      <color indexed="12"/>
      <name val="ＭＳ Ｐゴシック"/>
      <family val="3"/>
    </font>
    <font>
      <u val="single"/>
      <sz val="11"/>
      <color indexed="36"/>
      <name val="ＭＳ Ｐゴシック"/>
      <family val="3"/>
    </font>
    <font>
      <b/>
      <i/>
      <sz val="16"/>
      <color indexed="10"/>
      <name val="ＭＳ ゴシック"/>
      <family val="3"/>
    </font>
    <font>
      <b/>
      <sz val="14"/>
      <name val="明朝"/>
      <family val="3"/>
    </font>
    <font>
      <b/>
      <sz val="8"/>
      <name val="明朝"/>
      <family val="3"/>
    </font>
    <font>
      <b/>
      <i/>
      <sz val="16"/>
      <name val="ＭＳ ゴシック"/>
      <family val="3"/>
    </font>
    <font>
      <b/>
      <sz val="11"/>
      <color indexed="10"/>
      <name val="ＭＳ 明朝"/>
      <family val="1"/>
    </font>
    <font>
      <b/>
      <sz val="10"/>
      <name val="明朝"/>
      <family val="3"/>
    </font>
    <font>
      <b/>
      <sz val="14"/>
      <name val="ＭＳ Ｐゴシック"/>
      <family val="3"/>
    </font>
    <font>
      <b/>
      <sz val="11"/>
      <name val="ＭＳ Ｐゴシック"/>
      <family val="3"/>
    </font>
    <font>
      <i/>
      <sz val="11"/>
      <name val="ＭＳ Ｐ明朝"/>
      <family val="1"/>
    </font>
    <font>
      <b/>
      <sz val="11"/>
      <color indexed="10"/>
      <name val="ＭＳ Ｐゴシック"/>
      <family val="3"/>
    </font>
    <font>
      <i/>
      <sz val="11"/>
      <color indexed="8"/>
      <name val="ＭＳ Ｐゴシック"/>
      <family val="3"/>
    </font>
    <font>
      <vertAlign val="superscript"/>
      <sz val="11"/>
      <name val="ＭＳ Ｐゴシック"/>
      <family val="3"/>
    </font>
    <font>
      <sz val="11"/>
      <color indexed="10"/>
      <name val="ＭＳ Ｐゴシック"/>
      <family val="3"/>
    </font>
    <font>
      <sz val="11"/>
      <color indexed="8"/>
      <name val="ＭＳ Ｐゴシック"/>
      <family val="3"/>
    </font>
    <font>
      <vertAlign val="subscript"/>
      <sz val="11"/>
      <name val="ＭＳ Ｐゴシック"/>
      <family val="3"/>
    </font>
    <font>
      <sz val="11"/>
      <color indexed="12"/>
      <name val="ＭＳ Ｐゴシック"/>
      <family val="3"/>
    </font>
    <font>
      <sz val="11"/>
      <name val="明朝"/>
      <family val="3"/>
    </font>
    <font>
      <sz val="6"/>
      <name val="明朝"/>
      <family val="3"/>
    </font>
    <font>
      <sz val="10"/>
      <name val="ＭＳ 明朝"/>
      <family val="1"/>
    </font>
    <font>
      <b/>
      <sz val="16"/>
      <name val="ＭＳ 明朝"/>
      <family val="1"/>
    </font>
    <font>
      <sz val="14"/>
      <name val="ＭＳ 明朝"/>
      <family val="1"/>
    </font>
    <font>
      <i/>
      <sz val="9"/>
      <name val="ＭＳ 明朝"/>
      <family val="1"/>
    </font>
    <font>
      <sz val="8"/>
      <name val="ＭＳ 明朝"/>
      <family val="1"/>
    </font>
    <font>
      <sz val="11"/>
      <name val="ＭＳ 明朝"/>
      <family val="1"/>
    </font>
    <font>
      <sz val="9"/>
      <name val="ＭＳ 明朝"/>
      <family val="1"/>
    </font>
    <font>
      <sz val="9"/>
      <color indexed="8"/>
      <name val="ＭＳ 明朝"/>
      <family val="1"/>
    </font>
    <font>
      <sz val="10"/>
      <color indexed="8"/>
      <name val="ＭＳ 明朝"/>
      <family val="1"/>
    </font>
    <font>
      <sz val="9"/>
      <color indexed="12"/>
      <name val="ＭＳ 明朝"/>
      <family val="1"/>
    </font>
    <font>
      <sz val="10.5"/>
      <name val="Times New Roman"/>
      <family val="1"/>
    </font>
    <font>
      <sz val="12"/>
      <color indexed="8"/>
      <name val="ＭＳ 明朝"/>
      <family val="1"/>
    </font>
    <font>
      <sz val="12"/>
      <name val="ＭＳ 明朝"/>
      <family val="1"/>
    </font>
    <font>
      <sz val="16"/>
      <name val="ＭＳ 明朝"/>
      <family val="1"/>
    </font>
    <font>
      <sz val="20"/>
      <name val="ＭＳ 明朝"/>
      <family val="1"/>
    </font>
    <font>
      <sz val="12"/>
      <name val="ＭＳ Ｐゴシック"/>
      <family val="3"/>
    </font>
    <font>
      <sz val="18"/>
      <name val="ＭＳ 明朝"/>
      <family val="1"/>
    </font>
    <font>
      <sz val="16"/>
      <name val="HG創英角ｺﾞｼｯｸUB"/>
      <family val="3"/>
    </font>
    <font>
      <sz val="9"/>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b/>
      <sz val="12"/>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15"/>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color indexed="63"/>
      </bottom>
    </border>
    <border>
      <left>
        <color indexed="63"/>
      </left>
      <right>
        <color indexed="63"/>
      </right>
      <top style="thick"/>
      <bottom style="thin"/>
    </border>
    <border>
      <left>
        <color indexed="63"/>
      </left>
      <right>
        <color indexed="63"/>
      </right>
      <top style="thin"/>
      <bottom style="thin"/>
    </border>
    <border>
      <left>
        <color indexed="63"/>
      </left>
      <right>
        <color indexed="63"/>
      </right>
      <top>
        <color indexed="63"/>
      </top>
      <bottom style="thick"/>
    </border>
    <border>
      <left>
        <color indexed="63"/>
      </left>
      <right>
        <color indexed="63"/>
      </right>
      <top style="thick"/>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ck"/>
      <bottom style="thick"/>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bottom style="thick"/>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style="thin"/>
    </border>
    <border>
      <left style="thin"/>
      <right style="thin"/>
      <top style="double"/>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style="thin"/>
    </border>
    <border>
      <left style="thin"/>
      <right style="thin"/>
      <top style="hair"/>
      <bottom style="double"/>
    </border>
    <border>
      <left style="thin"/>
      <right style="thin"/>
      <top style="thin"/>
      <bottom style="double"/>
    </border>
    <border>
      <left style="hair"/>
      <right style="hair"/>
      <top>
        <color indexed="63"/>
      </top>
      <bottom>
        <color indexed="63"/>
      </bottom>
    </border>
    <border>
      <left style="hair"/>
      <right style="thin"/>
      <top style="thin"/>
      <bottom style="double"/>
    </border>
    <border>
      <left>
        <color indexed="63"/>
      </left>
      <right style="thin"/>
      <top style="thin"/>
      <bottom>
        <color indexed="63"/>
      </bottom>
    </border>
    <border>
      <left style="thin"/>
      <right style="hair"/>
      <top style="double"/>
      <bottom style="thin"/>
    </border>
    <border>
      <left style="hair"/>
      <right style="hair"/>
      <top style="double"/>
      <bottom style="thin"/>
    </border>
    <border>
      <left style="hair"/>
      <right style="thin"/>
      <top style="double"/>
      <bottom style="thin"/>
    </border>
    <border>
      <left style="thin"/>
      <right>
        <color indexed="63"/>
      </right>
      <top>
        <color indexed="63"/>
      </top>
      <bottom style="thin"/>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dashed"/>
    </border>
    <border>
      <left style="medium"/>
      <right style="thin"/>
      <top style="thin"/>
      <bottom style="thin"/>
    </border>
    <border>
      <left style="thin"/>
      <right style="medium"/>
      <top style="thin"/>
      <bottom style="thin"/>
    </border>
    <border>
      <left style="thin"/>
      <right>
        <color indexed="63"/>
      </right>
      <top>
        <color indexed="63"/>
      </top>
      <bottom style="hair"/>
    </border>
    <border>
      <left>
        <color indexed="63"/>
      </left>
      <right>
        <color indexed="63"/>
      </right>
      <top>
        <color indexed="63"/>
      </top>
      <bottom style="hair"/>
    </border>
    <border>
      <left style="medium"/>
      <right style="hair"/>
      <top>
        <color indexed="63"/>
      </top>
      <bottom style="hair"/>
    </border>
    <border>
      <left style="thin"/>
      <right style="medium"/>
      <top style="hair"/>
      <bottom style="hair"/>
    </border>
    <border>
      <left style="thin"/>
      <right style="medium"/>
      <top>
        <color indexed="63"/>
      </top>
      <bottom style="hair"/>
    </border>
    <border>
      <left style="medium"/>
      <right style="thin"/>
      <top style="hair"/>
      <bottom style="hair"/>
    </border>
    <border>
      <left>
        <color indexed="63"/>
      </left>
      <right style="thin"/>
      <top>
        <color indexed="63"/>
      </top>
      <bottom style="hair"/>
    </border>
    <border>
      <left>
        <color indexed="63"/>
      </left>
      <right>
        <color indexed="63"/>
      </right>
      <top style="hair"/>
      <bottom style="hair"/>
    </border>
    <border>
      <left style="medium"/>
      <right style="hair"/>
      <top style="hair"/>
      <bottom style="hair"/>
    </border>
    <border>
      <left>
        <color indexed="63"/>
      </left>
      <right style="hair"/>
      <top style="hair"/>
      <bottom style="hair"/>
    </border>
    <border>
      <left style="thin"/>
      <right>
        <color indexed="63"/>
      </right>
      <top style="hair"/>
      <bottom style="hair"/>
    </border>
    <border>
      <left>
        <color indexed="63"/>
      </left>
      <right style="thin"/>
      <top style="hair"/>
      <bottom style="hair"/>
    </border>
    <border>
      <left style="medium"/>
      <right>
        <color indexed="63"/>
      </right>
      <top style="hair"/>
      <bottom style="hair"/>
    </border>
    <border>
      <left style="thin"/>
      <right>
        <color indexed="63"/>
      </right>
      <top style="hair"/>
      <bottom style="medium"/>
    </border>
    <border>
      <left>
        <color indexed="63"/>
      </left>
      <right>
        <color indexed="63"/>
      </right>
      <top style="hair"/>
      <bottom style="medium"/>
    </border>
    <border>
      <left style="medium"/>
      <right style="thin"/>
      <top style="hair"/>
      <bottom style="medium"/>
    </border>
    <border>
      <left style="thin"/>
      <right style="medium"/>
      <top style="hair"/>
      <bottom style="medium"/>
    </border>
    <border>
      <left>
        <color indexed="63"/>
      </left>
      <right style="thin"/>
      <top style="hair"/>
      <bottom style="medium"/>
    </border>
    <border>
      <left style="medium"/>
      <right>
        <color indexed="63"/>
      </right>
      <top style="hair"/>
      <bottom style="medium"/>
    </border>
    <border>
      <left>
        <color indexed="63"/>
      </left>
      <right style="hair"/>
      <top>
        <color indexed="63"/>
      </top>
      <bottom style="hair"/>
    </border>
    <border>
      <left>
        <color indexed="63"/>
      </left>
      <right>
        <color indexed="63"/>
      </right>
      <top style="hair"/>
      <bottom>
        <color indexed="63"/>
      </bottom>
    </border>
    <border>
      <left style="thin"/>
      <right style="medium"/>
      <top style="hair"/>
      <bottom>
        <color indexed="63"/>
      </bottom>
    </border>
    <border>
      <left style="thin"/>
      <right>
        <color indexed="63"/>
      </right>
      <top style="hair"/>
      <bottom>
        <color indexed="63"/>
      </bottom>
    </border>
    <border>
      <left style="medium"/>
      <right style="hair"/>
      <top style="hair"/>
      <bottom style="medium"/>
    </border>
    <border>
      <left>
        <color indexed="63"/>
      </left>
      <right style="hair"/>
      <top style="hair"/>
      <bottom style="medium"/>
    </border>
    <border>
      <left style="medium"/>
      <right>
        <color indexed="63"/>
      </right>
      <top>
        <color indexed="63"/>
      </top>
      <bottom style="hair"/>
    </border>
    <border>
      <left style="thin"/>
      <right style="thin"/>
      <top>
        <color indexed="63"/>
      </top>
      <bottom>
        <color indexed="63"/>
      </bottom>
    </border>
    <border>
      <left style="thin"/>
      <right>
        <color indexed="63"/>
      </right>
      <top style="double"/>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diagonalUp="1">
      <left style="thin"/>
      <right style="thin"/>
      <top style="thin"/>
      <bottom>
        <color indexed="63"/>
      </bottom>
      <diagonal style="hair"/>
    </border>
    <border diagonalUp="1">
      <left style="thin"/>
      <right style="thin"/>
      <top>
        <color indexed="63"/>
      </top>
      <bottom>
        <color indexed="63"/>
      </bottom>
      <diagonal style="hair"/>
    </border>
    <border diagonalUp="1">
      <left style="thin"/>
      <right style="thin"/>
      <top>
        <color indexed="63"/>
      </top>
      <bottom style="thin"/>
      <diagonal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22" fillId="0" borderId="0">
      <alignment horizontal="distributed"/>
      <protection/>
    </xf>
    <xf numFmtId="0" fontId="5" fillId="0" borderId="0" applyNumberFormat="0" applyFill="0" applyBorder="0" applyAlignment="0" applyProtection="0"/>
    <xf numFmtId="0" fontId="76" fillId="32" borderId="0" applyNumberFormat="0" applyBorder="0" applyAlignment="0" applyProtection="0"/>
  </cellStyleXfs>
  <cellXfs count="490">
    <xf numFmtId="0" fontId="0" fillId="0" borderId="0" xfId="0" applyAlignment="1">
      <alignment/>
    </xf>
    <xf numFmtId="0" fontId="2" fillId="0" borderId="0" xfId="0" applyFont="1" applyAlignment="1">
      <alignment horizontal="right"/>
    </xf>
    <xf numFmtId="58" fontId="3" fillId="0" borderId="0" xfId="0" applyNumberFormat="1" applyFont="1" applyAlignment="1">
      <alignment horizontal="right"/>
    </xf>
    <xf numFmtId="0" fontId="3" fillId="0" borderId="0" xfId="0" applyFont="1" applyAlignment="1">
      <alignment horizontal="justify"/>
    </xf>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indent="1"/>
    </xf>
    <xf numFmtId="0" fontId="3" fillId="0" borderId="0" xfId="0" applyFont="1" applyFill="1" applyAlignment="1">
      <alignment horizontal="justify"/>
    </xf>
    <xf numFmtId="0" fontId="6" fillId="0" borderId="0" xfId="0" applyFont="1" applyFill="1" applyBorder="1" applyAlignment="1" quotePrefix="1">
      <alignment horizontal="centerContinuous"/>
    </xf>
    <xf numFmtId="0" fontId="7" fillId="0" borderId="0" xfId="0" applyFont="1" applyFill="1" applyBorder="1" applyAlignment="1" quotePrefix="1">
      <alignment horizontal="centerContinuous"/>
    </xf>
    <xf numFmtId="0" fontId="8" fillId="0" borderId="0" xfId="0" applyFont="1" applyFill="1" applyBorder="1" applyAlignment="1">
      <alignment horizontal="centerContinuous"/>
    </xf>
    <xf numFmtId="0" fontId="9" fillId="0" borderId="0" xfId="0" applyFont="1" applyFill="1" applyBorder="1" applyAlignment="1" quotePrefix="1">
      <alignment horizontal="centerContinuous"/>
    </xf>
    <xf numFmtId="0" fontId="8" fillId="0" borderId="0" xfId="0" applyFont="1" applyFill="1" applyBorder="1" applyAlignment="1">
      <alignment/>
    </xf>
    <xf numFmtId="0" fontId="10" fillId="0" borderId="0" xfId="0" applyFont="1" applyFill="1" applyBorder="1" applyAlignment="1">
      <alignment horizontal="centerContinuous"/>
    </xf>
    <xf numFmtId="0" fontId="11" fillId="0" borderId="0" xfId="0" applyFont="1" applyFill="1" applyBorder="1" applyAlignment="1" quotePrefix="1">
      <alignment horizontal="centerContinuous"/>
    </xf>
    <xf numFmtId="0" fontId="11" fillId="0" borderId="0" xfId="0" applyFont="1" applyFill="1" applyBorder="1" applyAlignment="1">
      <alignment horizontal="centerContinuous"/>
    </xf>
    <xf numFmtId="0" fontId="7" fillId="0" borderId="0" xfId="0" applyFont="1" applyFill="1" applyBorder="1" applyAlignment="1">
      <alignmen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3" fillId="1" borderId="10" xfId="0" applyFont="1" applyFill="1" applyBorder="1" applyAlignment="1">
      <alignment horizontal="center"/>
    </xf>
    <xf numFmtId="0" fontId="13" fillId="1" borderId="11" xfId="0" applyFont="1" applyFill="1" applyBorder="1" applyAlignment="1">
      <alignment horizontal="centerContinuous"/>
    </xf>
    <xf numFmtId="0" fontId="13" fillId="1" borderId="11" xfId="0" applyFont="1" applyFill="1" applyBorder="1" applyAlignment="1">
      <alignment/>
    </xf>
    <xf numFmtId="0" fontId="13" fillId="1" borderId="0" xfId="0" applyFont="1" applyFill="1" applyBorder="1" applyAlignment="1">
      <alignment horizontal="center"/>
    </xf>
    <xf numFmtId="0" fontId="13" fillId="1" borderId="0" xfId="0" applyFont="1" applyFill="1" applyAlignment="1">
      <alignment/>
    </xf>
    <xf numFmtId="0" fontId="13" fillId="1" borderId="12" xfId="0" applyFont="1" applyFill="1" applyBorder="1" applyAlignment="1">
      <alignment horizontal="centerContinuous"/>
    </xf>
    <xf numFmtId="0" fontId="13" fillId="1" borderId="13" xfId="0" applyFont="1" applyFill="1" applyBorder="1" applyAlignment="1">
      <alignment horizontal="center"/>
    </xf>
    <xf numFmtId="0" fontId="0" fillId="1" borderId="13" xfId="0" applyFill="1" applyBorder="1" applyAlignment="1">
      <alignment horizontal="center"/>
    </xf>
    <xf numFmtId="0" fontId="13" fillId="1" borderId="0" xfId="0" applyFont="1" applyFill="1" applyAlignment="1">
      <alignment horizontal="center"/>
    </xf>
    <xf numFmtId="0" fontId="0" fillId="1" borderId="0" xfId="0" applyFill="1" applyAlignment="1">
      <alignment horizontal="center"/>
    </xf>
    <xf numFmtId="0" fontId="13" fillId="0" borderId="0" xfId="0" applyFont="1" applyAlignment="1">
      <alignment horizontal="center"/>
    </xf>
    <xf numFmtId="0" fontId="13" fillId="0" borderId="14" xfId="0" applyFont="1" applyBorder="1" applyAlignment="1">
      <alignment horizontal="left"/>
    </xf>
    <xf numFmtId="0" fontId="13" fillId="0" borderId="14" xfId="0" applyFont="1" applyBorder="1" applyAlignment="1">
      <alignment horizontal="center"/>
    </xf>
    <xf numFmtId="0" fontId="0" fillId="0" borderId="14" xfId="0" applyBorder="1" applyAlignment="1">
      <alignment horizontal="center"/>
    </xf>
    <xf numFmtId="0" fontId="13" fillId="0" borderId="14" xfId="0" applyFont="1" applyBorder="1" applyAlignment="1">
      <alignment horizontal="right"/>
    </xf>
    <xf numFmtId="0" fontId="14" fillId="0" borderId="14" xfId="0" applyFont="1" applyBorder="1" applyAlignment="1">
      <alignment horizontal="right"/>
    </xf>
    <xf numFmtId="0" fontId="15" fillId="0" borderId="0" xfId="0" applyFont="1" applyAlignment="1">
      <alignment/>
    </xf>
    <xf numFmtId="0" fontId="16" fillId="0" borderId="0" xfId="0" applyFont="1" applyAlignment="1">
      <alignment/>
    </xf>
    <xf numFmtId="0" fontId="13" fillId="0" borderId="15" xfId="0" applyFont="1" applyBorder="1" applyAlignment="1">
      <alignment horizontal="right"/>
    </xf>
    <xf numFmtId="0" fontId="14" fillId="0" borderId="0" xfId="0" applyFont="1" applyBorder="1" applyAlignment="1">
      <alignment horizontal="right"/>
    </xf>
    <xf numFmtId="0" fontId="0" fillId="0" borderId="15" xfId="0" applyBorder="1" applyAlignment="1">
      <alignment/>
    </xf>
    <xf numFmtId="0" fontId="13" fillId="0" borderId="0" xfId="0" applyFont="1" applyBorder="1" applyAlignment="1">
      <alignment horizontal="right"/>
    </xf>
    <xf numFmtId="0" fontId="0" fillId="0" borderId="0" xfId="0" applyBorder="1" applyAlignment="1">
      <alignment/>
    </xf>
    <xf numFmtId="0" fontId="15" fillId="0" borderId="0" xfId="0" applyFont="1" applyBorder="1" applyAlignment="1">
      <alignment/>
    </xf>
    <xf numFmtId="0" fontId="16" fillId="0" borderId="0" xfId="0" applyFont="1" applyBorder="1" applyAlignment="1">
      <alignment/>
    </xf>
    <xf numFmtId="0" fontId="13" fillId="0" borderId="16" xfId="0" applyFont="1" applyBorder="1" applyAlignment="1">
      <alignment/>
    </xf>
    <xf numFmtId="0" fontId="0" fillId="0" borderId="16" xfId="0" applyBorder="1" applyAlignment="1">
      <alignment/>
    </xf>
    <xf numFmtId="0" fontId="15" fillId="0" borderId="16" xfId="0" applyFont="1" applyBorder="1" applyAlignment="1">
      <alignment/>
    </xf>
    <xf numFmtId="0" fontId="16" fillId="0" borderId="16" xfId="0" applyFont="1" applyBorder="1" applyAlignment="1">
      <alignment/>
    </xf>
    <xf numFmtId="0" fontId="13" fillId="0" borderId="16" xfId="0" applyFont="1" applyBorder="1" applyAlignment="1">
      <alignment horizontal="right"/>
    </xf>
    <xf numFmtId="0" fontId="14" fillId="0" borderId="16" xfId="0" applyFont="1" applyBorder="1" applyAlignment="1">
      <alignment horizontal="right"/>
    </xf>
    <xf numFmtId="0" fontId="15" fillId="0" borderId="0" xfId="0" applyFont="1" applyFill="1" applyBorder="1" applyAlignment="1">
      <alignment/>
    </xf>
    <xf numFmtId="0" fontId="16" fillId="0" borderId="0" xfId="0" applyFont="1" applyFill="1" applyBorder="1" applyAlignment="1">
      <alignment/>
    </xf>
    <xf numFmtId="0" fontId="13" fillId="33" borderId="0" xfId="0" applyFont="1" applyFill="1" applyAlignment="1">
      <alignment/>
    </xf>
    <xf numFmtId="0" fontId="13" fillId="33" borderId="16" xfId="0" applyFont="1" applyFill="1" applyBorder="1" applyAlignment="1">
      <alignment/>
    </xf>
    <xf numFmtId="0" fontId="0" fillId="33" borderId="16" xfId="0" applyFill="1" applyBorder="1" applyAlignment="1">
      <alignment/>
    </xf>
    <xf numFmtId="0" fontId="15" fillId="33" borderId="16" xfId="0" applyFont="1" applyFill="1" applyBorder="1" applyAlignment="1">
      <alignment/>
    </xf>
    <xf numFmtId="0" fontId="16" fillId="33" borderId="16" xfId="0" applyFont="1" applyFill="1" applyBorder="1" applyAlignment="1">
      <alignment/>
    </xf>
    <xf numFmtId="0" fontId="13" fillId="33" borderId="16" xfId="0" applyFont="1" applyFill="1" applyBorder="1" applyAlignment="1">
      <alignment horizontal="right"/>
    </xf>
    <xf numFmtId="0" fontId="14" fillId="33" borderId="16" xfId="0" applyFont="1" applyFill="1" applyBorder="1" applyAlignment="1">
      <alignment horizontal="right"/>
    </xf>
    <xf numFmtId="0" fontId="0" fillId="33" borderId="0" xfId="0" applyFill="1" applyBorder="1" applyAlignment="1">
      <alignment/>
    </xf>
    <xf numFmtId="0" fontId="0" fillId="33" borderId="0" xfId="0"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13" fillId="33" borderId="0" xfId="0" applyFont="1" applyFill="1" applyBorder="1" applyAlignment="1">
      <alignment horizontal="right"/>
    </xf>
    <xf numFmtId="0" fontId="14" fillId="33" borderId="0" xfId="0" applyFont="1" applyFill="1" applyBorder="1" applyAlignment="1">
      <alignment horizontal="right"/>
    </xf>
    <xf numFmtId="0" fontId="13" fillId="33" borderId="13" xfId="0" applyFont="1" applyFill="1" applyBorder="1" applyAlignment="1">
      <alignment/>
    </xf>
    <xf numFmtId="0" fontId="0" fillId="33" borderId="13" xfId="0" applyFill="1" applyBorder="1" applyAlignment="1">
      <alignment/>
    </xf>
    <xf numFmtId="0" fontId="15" fillId="33" borderId="13" xfId="0" applyFont="1" applyFill="1" applyBorder="1" applyAlignment="1">
      <alignment/>
    </xf>
    <xf numFmtId="0" fontId="16" fillId="33" borderId="13" xfId="0" applyFont="1" applyFill="1" applyBorder="1" applyAlignment="1">
      <alignment/>
    </xf>
    <xf numFmtId="0" fontId="14" fillId="33" borderId="13" xfId="0" applyFont="1" applyFill="1" applyBorder="1" applyAlignment="1">
      <alignment horizontal="right"/>
    </xf>
    <xf numFmtId="0" fontId="13" fillId="33" borderId="0" xfId="0" applyFont="1" applyFill="1" applyAlignment="1">
      <alignment horizontal="center"/>
    </xf>
    <xf numFmtId="0" fontId="13" fillId="33" borderId="14" xfId="0" applyFont="1" applyFill="1" applyBorder="1" applyAlignment="1">
      <alignment horizontal="left"/>
    </xf>
    <xf numFmtId="0" fontId="13" fillId="33" borderId="14" xfId="0" applyFont="1" applyFill="1" applyBorder="1" applyAlignment="1">
      <alignment horizontal="center"/>
    </xf>
    <xf numFmtId="0" fontId="0" fillId="33" borderId="14" xfId="0" applyFill="1" applyBorder="1" applyAlignment="1">
      <alignment horizontal="center"/>
    </xf>
    <xf numFmtId="0" fontId="13" fillId="33" borderId="14" xfId="0" applyFont="1" applyFill="1" applyBorder="1" applyAlignment="1">
      <alignment horizontal="right"/>
    </xf>
    <xf numFmtId="0" fontId="16" fillId="33" borderId="14" xfId="0" applyFont="1" applyFill="1" applyBorder="1" applyAlignment="1">
      <alignment horizontal="right"/>
    </xf>
    <xf numFmtId="0" fontId="14" fillId="33" borderId="14" xfId="0" applyFont="1" applyFill="1" applyBorder="1" applyAlignment="1">
      <alignment horizontal="right"/>
    </xf>
    <xf numFmtId="0" fontId="0" fillId="33" borderId="0" xfId="0" applyFill="1" applyBorder="1" applyAlignment="1">
      <alignment horizontal="center"/>
    </xf>
    <xf numFmtId="0" fontId="0" fillId="33" borderId="0" xfId="0" applyFill="1" applyAlignment="1">
      <alignment horizontal="center"/>
    </xf>
    <xf numFmtId="0" fontId="15" fillId="33" borderId="0" xfId="0" applyFont="1" applyFill="1" applyAlignment="1">
      <alignment/>
    </xf>
    <xf numFmtId="0" fontId="16" fillId="33" borderId="0" xfId="0" applyFont="1" applyFill="1" applyAlignment="1">
      <alignment/>
    </xf>
    <xf numFmtId="0" fontId="13" fillId="33" borderId="13" xfId="0" applyFont="1" applyFill="1" applyBorder="1" applyAlignment="1">
      <alignment horizontal="right"/>
    </xf>
    <xf numFmtId="0" fontId="0" fillId="1" borderId="10" xfId="0" applyFill="1" applyBorder="1" applyAlignment="1">
      <alignment horizontal="center"/>
    </xf>
    <xf numFmtId="0" fontId="0" fillId="1" borderId="11" xfId="0" applyFill="1" applyBorder="1" applyAlignment="1">
      <alignment horizontal="centerContinuous"/>
    </xf>
    <xf numFmtId="0" fontId="0" fillId="34" borderId="0" xfId="0" applyFill="1" applyBorder="1" applyAlignment="1">
      <alignment horizontal="center"/>
    </xf>
    <xf numFmtId="38" fontId="0" fillId="0" borderId="0" xfId="49" applyFont="1" applyAlignment="1">
      <alignment horizontal="right"/>
    </xf>
    <xf numFmtId="38" fontId="0" fillId="0" borderId="0" xfId="49" applyAlignment="1">
      <alignment horizontal="right"/>
    </xf>
    <xf numFmtId="0" fontId="0" fillId="0" borderId="0" xfId="0" applyAlignment="1">
      <alignment horizontal="right"/>
    </xf>
    <xf numFmtId="38" fontId="0" fillId="0" borderId="0" xfId="49" applyFont="1" applyAlignment="1">
      <alignment/>
    </xf>
    <xf numFmtId="38" fontId="0" fillId="0" borderId="0" xfId="49" applyAlignment="1">
      <alignment/>
    </xf>
    <xf numFmtId="38" fontId="0" fillId="0" borderId="0" xfId="49" applyFont="1" applyBorder="1" applyAlignment="1">
      <alignment horizontal="right"/>
    </xf>
    <xf numFmtId="38" fontId="0" fillId="0" borderId="0" xfId="49" applyFont="1" applyBorder="1" applyAlignment="1">
      <alignment/>
    </xf>
    <xf numFmtId="38" fontId="0" fillId="0" borderId="0" xfId="49" applyBorder="1" applyAlignment="1">
      <alignment/>
    </xf>
    <xf numFmtId="38" fontId="0" fillId="0" borderId="0" xfId="49" applyBorder="1" applyAlignment="1">
      <alignment horizontal="right"/>
    </xf>
    <xf numFmtId="38" fontId="0" fillId="0" borderId="16" xfId="49" applyFont="1" applyBorder="1" applyAlignment="1">
      <alignment horizontal="right"/>
    </xf>
    <xf numFmtId="38" fontId="0" fillId="0" borderId="16" xfId="49" applyFont="1" applyBorder="1" applyAlignment="1">
      <alignment/>
    </xf>
    <xf numFmtId="38" fontId="0" fillId="0" borderId="16" xfId="49" applyBorder="1" applyAlignment="1">
      <alignment/>
    </xf>
    <xf numFmtId="38" fontId="0" fillId="0" borderId="16" xfId="49" applyBorder="1" applyAlignment="1">
      <alignment horizontal="right"/>
    </xf>
    <xf numFmtId="0" fontId="0" fillId="0" borderId="13" xfId="0" applyBorder="1" applyAlignment="1">
      <alignment/>
    </xf>
    <xf numFmtId="38" fontId="0" fillId="0" borderId="13" xfId="49" applyFont="1" applyFill="1" applyBorder="1" applyAlignment="1">
      <alignment/>
    </xf>
    <xf numFmtId="38" fontId="0" fillId="0" borderId="13" xfId="49" applyFill="1" applyBorder="1" applyAlignment="1">
      <alignment/>
    </xf>
    <xf numFmtId="0" fontId="0" fillId="0" borderId="0" xfId="0" applyFill="1" applyBorder="1" applyAlignment="1">
      <alignment/>
    </xf>
    <xf numFmtId="38" fontId="0" fillId="33" borderId="13" xfId="49" applyFont="1" applyFill="1" applyBorder="1" applyAlignment="1">
      <alignment/>
    </xf>
    <xf numFmtId="38" fontId="0" fillId="33" borderId="13" xfId="49" applyFill="1" applyBorder="1" applyAlignment="1">
      <alignment/>
    </xf>
    <xf numFmtId="0" fontId="0" fillId="0" borderId="17" xfId="0" applyBorder="1" applyAlignment="1">
      <alignment/>
    </xf>
    <xf numFmtId="38" fontId="0" fillId="33" borderId="17" xfId="49" applyFill="1" applyBorder="1" applyAlignment="1">
      <alignment/>
    </xf>
    <xf numFmtId="38" fontId="0" fillId="33" borderId="17" xfId="49" applyFill="1" applyBorder="1" applyAlignment="1">
      <alignment horizontal="center"/>
    </xf>
    <xf numFmtId="0" fontId="0" fillId="0" borderId="0" xfId="0" applyFill="1" applyBorder="1" applyAlignment="1">
      <alignment horizontal="center"/>
    </xf>
    <xf numFmtId="0" fontId="19" fillId="0" borderId="0" xfId="0" applyFont="1" applyAlignment="1">
      <alignment/>
    </xf>
    <xf numFmtId="0" fontId="0" fillId="0" borderId="0" xfId="0" applyAlignment="1">
      <alignment/>
    </xf>
    <xf numFmtId="0" fontId="0" fillId="0" borderId="0" xfId="0" applyAlignment="1">
      <alignment wrapText="1"/>
    </xf>
    <xf numFmtId="0" fontId="0" fillId="0" borderId="12" xfId="0" applyFill="1" applyBorder="1" applyAlignment="1">
      <alignment/>
    </xf>
    <xf numFmtId="0" fontId="0" fillId="0" borderId="12" xfId="0" applyFont="1" applyFill="1" applyBorder="1" applyAlignment="1" quotePrefix="1">
      <alignment horizontal="left"/>
    </xf>
    <xf numFmtId="0" fontId="0" fillId="0" borderId="12" xfId="0" applyFont="1" applyFill="1" applyBorder="1" applyAlignment="1">
      <alignment horizontal="right"/>
    </xf>
    <xf numFmtId="38" fontId="0" fillId="0" borderId="12" xfId="49" applyFont="1" applyFill="1" applyBorder="1" applyAlignment="1">
      <alignment/>
    </xf>
    <xf numFmtId="0" fontId="0" fillId="0" borderId="12" xfId="0" applyFont="1" applyFill="1" applyBorder="1" applyAlignment="1">
      <alignment horizontal="left"/>
    </xf>
    <xf numFmtId="0" fontId="0" fillId="0" borderId="12" xfId="0" applyFont="1" applyFill="1" applyBorder="1" applyAlignment="1" quotePrefix="1">
      <alignment/>
    </xf>
    <xf numFmtId="0" fontId="0" fillId="33" borderId="12" xfId="0" applyFont="1" applyFill="1" applyBorder="1" applyAlignment="1" quotePrefix="1">
      <alignment/>
    </xf>
    <xf numFmtId="0" fontId="0" fillId="0" borderId="0" xfId="0" applyFill="1" applyAlignment="1">
      <alignment/>
    </xf>
    <xf numFmtId="0" fontId="20" fillId="0" borderId="18" xfId="0" applyFont="1" applyFill="1" applyBorder="1" applyAlignment="1">
      <alignment/>
    </xf>
    <xf numFmtId="0" fontId="0" fillId="0" borderId="18" xfId="0" applyFont="1" applyFill="1" applyBorder="1" applyAlignment="1" quotePrefix="1">
      <alignment horizontal="left"/>
    </xf>
    <xf numFmtId="0" fontId="0" fillId="0" borderId="18" xfId="0" applyFont="1" applyFill="1" applyBorder="1" applyAlignment="1">
      <alignment horizontal="right"/>
    </xf>
    <xf numFmtId="38" fontId="0" fillId="0" borderId="18" xfId="49" applyFont="1" applyFill="1" applyBorder="1" applyAlignment="1">
      <alignment/>
    </xf>
    <xf numFmtId="0" fontId="0" fillId="0" borderId="18" xfId="0" applyFont="1" applyFill="1" applyBorder="1" applyAlignment="1">
      <alignment horizontal="left"/>
    </xf>
    <xf numFmtId="0" fontId="0" fillId="0" borderId="18" xfId="0" applyFont="1" applyFill="1" applyBorder="1" applyAlignment="1" quotePrefix="1">
      <alignment/>
    </xf>
    <xf numFmtId="0" fontId="17" fillId="0" borderId="18" xfId="0" applyFont="1" applyFill="1" applyBorder="1" applyAlignment="1">
      <alignment/>
    </xf>
    <xf numFmtId="0" fontId="0" fillId="0" borderId="18" xfId="0" applyFont="1" applyBorder="1" applyAlignment="1">
      <alignment/>
    </xf>
    <xf numFmtId="0" fontId="0" fillId="33" borderId="18" xfId="0"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ont="1" applyAlignment="1">
      <alignment/>
    </xf>
    <xf numFmtId="180" fontId="0" fillId="0" borderId="0" xfId="0" applyNumberFormat="1" applyAlignment="1">
      <alignment/>
    </xf>
    <xf numFmtId="182" fontId="0" fillId="0" borderId="0" xfId="0" applyNumberFormat="1" applyAlignment="1">
      <alignment/>
    </xf>
    <xf numFmtId="182" fontId="0" fillId="0" borderId="0" xfId="0" applyNumberFormat="1" applyBorder="1" applyAlignment="1">
      <alignment/>
    </xf>
    <xf numFmtId="0" fontId="0" fillId="0" borderId="0" xfId="0" applyNumberFormat="1" applyAlignment="1">
      <alignment/>
    </xf>
    <xf numFmtId="0" fontId="0" fillId="1" borderId="10" xfId="0" applyFill="1" applyBorder="1" applyAlignment="1">
      <alignment/>
    </xf>
    <xf numFmtId="180" fontId="0" fillId="1" borderId="10" xfId="0" applyNumberFormat="1" applyFill="1" applyBorder="1" applyAlignment="1">
      <alignment/>
    </xf>
    <xf numFmtId="0" fontId="0" fillId="1" borderId="14" xfId="0" applyFill="1" applyBorder="1" applyAlignment="1">
      <alignment horizontal="centerContinuous"/>
    </xf>
    <xf numFmtId="182" fontId="0" fillId="1" borderId="10" xfId="0" applyNumberFormat="1" applyFill="1" applyBorder="1" applyAlignment="1">
      <alignment/>
    </xf>
    <xf numFmtId="0" fontId="0" fillId="1" borderId="13" xfId="0" applyFill="1" applyBorder="1" applyAlignment="1">
      <alignment/>
    </xf>
    <xf numFmtId="180" fontId="0" fillId="1" borderId="13" xfId="0" applyNumberFormat="1" applyFill="1" applyBorder="1" applyAlignment="1">
      <alignment/>
    </xf>
    <xf numFmtId="0" fontId="0" fillId="1" borderId="13" xfId="0" applyFill="1" applyBorder="1" applyAlignment="1">
      <alignment horizontal="right"/>
    </xf>
    <xf numFmtId="0" fontId="0" fillId="1" borderId="13" xfId="0" applyFill="1" applyBorder="1" applyAlignment="1">
      <alignment horizontal="centerContinuous"/>
    </xf>
    <xf numFmtId="182" fontId="0" fillId="1" borderId="13" xfId="0" applyNumberFormat="1" applyFill="1" applyBorder="1" applyAlignment="1">
      <alignment/>
    </xf>
    <xf numFmtId="0" fontId="0" fillId="0" borderId="14" xfId="0" applyBorder="1" applyAlignment="1">
      <alignment/>
    </xf>
    <xf numFmtId="180" fontId="0" fillId="0" borderId="14" xfId="0" applyNumberFormat="1" applyBorder="1" applyAlignment="1">
      <alignment/>
    </xf>
    <xf numFmtId="0" fontId="19" fillId="0" borderId="14" xfId="0" applyFont="1" applyBorder="1" applyAlignment="1">
      <alignment/>
    </xf>
    <xf numFmtId="184" fontId="18" fillId="0" borderId="14" xfId="0" applyNumberFormat="1" applyFont="1" applyBorder="1" applyAlignment="1">
      <alignment/>
    </xf>
    <xf numFmtId="184" fontId="21" fillId="0" borderId="14" xfId="0" applyNumberFormat="1" applyFont="1" applyBorder="1" applyAlignment="1">
      <alignment/>
    </xf>
    <xf numFmtId="184" fontId="0" fillId="0" borderId="14" xfId="0" applyNumberFormat="1" applyBorder="1" applyAlignment="1">
      <alignment/>
    </xf>
    <xf numFmtId="185" fontId="0" fillId="0" borderId="14" xfId="0" applyNumberFormat="1" applyBorder="1" applyAlignment="1">
      <alignment/>
    </xf>
    <xf numFmtId="184" fontId="19" fillId="0" borderId="14" xfId="0" applyNumberFormat="1" applyFont="1" applyBorder="1" applyAlignment="1">
      <alignment/>
    </xf>
    <xf numFmtId="184" fontId="18" fillId="0" borderId="0" xfId="0" applyNumberFormat="1" applyFont="1" applyBorder="1" applyAlignment="1">
      <alignment/>
    </xf>
    <xf numFmtId="184" fontId="21" fillId="0" borderId="0" xfId="0" applyNumberFormat="1" applyFont="1" applyAlignment="1">
      <alignment/>
    </xf>
    <xf numFmtId="184" fontId="0" fillId="0" borderId="0" xfId="0" applyNumberFormat="1" applyBorder="1" applyAlignment="1">
      <alignment/>
    </xf>
    <xf numFmtId="185" fontId="0" fillId="0" borderId="0" xfId="0" applyNumberFormat="1" applyAlignment="1">
      <alignment/>
    </xf>
    <xf numFmtId="184" fontId="0" fillId="0" borderId="0" xfId="0" applyNumberFormat="1" applyAlignment="1">
      <alignment/>
    </xf>
    <xf numFmtId="184" fontId="19" fillId="0" borderId="0" xfId="0" applyNumberFormat="1" applyFont="1" applyAlignment="1">
      <alignment/>
    </xf>
    <xf numFmtId="0" fontId="0" fillId="0" borderId="0" xfId="0" applyNumberFormat="1" applyBorder="1" applyAlignment="1">
      <alignment/>
    </xf>
    <xf numFmtId="0" fontId="0" fillId="0" borderId="19" xfId="0" applyBorder="1" applyAlignment="1">
      <alignment/>
    </xf>
    <xf numFmtId="0" fontId="19" fillId="0" borderId="19" xfId="0" applyFont="1" applyBorder="1" applyAlignment="1">
      <alignment/>
    </xf>
    <xf numFmtId="184" fontId="19" fillId="0" borderId="19" xfId="0" applyNumberFormat="1" applyFont="1" applyBorder="1" applyAlignment="1">
      <alignment/>
    </xf>
    <xf numFmtId="185" fontId="19" fillId="0" borderId="19" xfId="0" applyNumberFormat="1" applyFont="1" applyBorder="1" applyAlignment="1">
      <alignment/>
    </xf>
    <xf numFmtId="184" fontId="0" fillId="0" borderId="19" xfId="0" applyNumberFormat="1" applyBorder="1" applyAlignment="1">
      <alignment/>
    </xf>
    <xf numFmtId="185" fontId="0" fillId="0" borderId="19" xfId="0" applyNumberFormat="1" applyBorder="1" applyAlignment="1">
      <alignment/>
    </xf>
    <xf numFmtId="180" fontId="0" fillId="0" borderId="15" xfId="0" applyNumberFormat="1" applyBorder="1" applyAlignment="1">
      <alignment/>
    </xf>
    <xf numFmtId="0" fontId="19" fillId="0" borderId="15" xfId="0" applyFont="1" applyBorder="1" applyAlignment="1">
      <alignment/>
    </xf>
    <xf numFmtId="184" fontId="18" fillId="0" borderId="15" xfId="0" applyNumberFormat="1" applyFont="1" applyBorder="1" applyAlignment="1">
      <alignment/>
    </xf>
    <xf numFmtId="184" fontId="21" fillId="0" borderId="0" xfId="0" applyNumberFormat="1" applyFont="1" applyBorder="1" applyAlignment="1">
      <alignment/>
    </xf>
    <xf numFmtId="185" fontId="0" fillId="0" borderId="0" xfId="0" applyNumberFormat="1" applyBorder="1" applyAlignment="1">
      <alignment/>
    </xf>
    <xf numFmtId="184" fontId="19" fillId="0" borderId="0" xfId="0" applyNumberFormat="1" applyFont="1" applyBorder="1" applyAlignment="1">
      <alignment/>
    </xf>
    <xf numFmtId="180" fontId="0" fillId="0" borderId="0" xfId="0" applyNumberFormat="1" applyBorder="1" applyAlignment="1">
      <alignment/>
    </xf>
    <xf numFmtId="0" fontId="0" fillId="0" borderId="20" xfId="0" applyBorder="1" applyAlignment="1">
      <alignment/>
    </xf>
    <xf numFmtId="0" fontId="19" fillId="0" borderId="20" xfId="0" applyFont="1" applyBorder="1" applyAlignment="1">
      <alignment/>
    </xf>
    <xf numFmtId="184" fontId="19" fillId="0" borderId="20" xfId="0" applyNumberFormat="1" applyFont="1" applyBorder="1" applyAlignment="1">
      <alignment/>
    </xf>
    <xf numFmtId="180" fontId="0" fillId="0" borderId="13" xfId="0" applyNumberFormat="1" applyBorder="1" applyAlignment="1">
      <alignment/>
    </xf>
    <xf numFmtId="0" fontId="0" fillId="0" borderId="21" xfId="0" applyBorder="1" applyAlignment="1">
      <alignment/>
    </xf>
    <xf numFmtId="0" fontId="19" fillId="0" borderId="21" xfId="0" applyFont="1" applyBorder="1" applyAlignment="1">
      <alignment/>
    </xf>
    <xf numFmtId="184" fontId="0" fillId="0" borderId="21" xfId="0" applyNumberFormat="1" applyBorder="1" applyAlignment="1">
      <alignment/>
    </xf>
    <xf numFmtId="185" fontId="0" fillId="0" borderId="21" xfId="0" applyNumberFormat="1" applyBorder="1" applyAlignment="1">
      <alignment/>
    </xf>
    <xf numFmtId="184" fontId="19" fillId="0" borderId="21" xfId="0" applyNumberFormat="1" applyFont="1" applyBorder="1" applyAlignment="1">
      <alignment/>
    </xf>
    <xf numFmtId="0" fontId="26" fillId="0" borderId="0" xfId="61" applyFont="1" applyAlignment="1">
      <alignment horizontal="distributed" vertical="center"/>
      <protection/>
    </xf>
    <xf numFmtId="0" fontId="27" fillId="0" borderId="18" xfId="61" applyFont="1" applyBorder="1" applyAlignment="1">
      <alignment horizontal="centerContinuous" vertical="center" shrinkToFit="1"/>
      <protection/>
    </xf>
    <xf numFmtId="0" fontId="28" fillId="0" borderId="0" xfId="61" applyFont="1" applyBorder="1" applyAlignment="1" quotePrefix="1">
      <alignment horizontal="left" vertical="center" shrinkToFit="1"/>
      <protection/>
    </xf>
    <xf numFmtId="38" fontId="28" fillId="0" borderId="0" xfId="49" applyFont="1" applyBorder="1" applyAlignment="1">
      <alignment horizontal="left" vertical="center" shrinkToFit="1"/>
    </xf>
    <xf numFmtId="38" fontId="28" fillId="0" borderId="0" xfId="49" applyFont="1" applyBorder="1" applyAlignment="1">
      <alignment horizontal="right" vertical="center" shrinkToFit="1"/>
    </xf>
    <xf numFmtId="6" fontId="28" fillId="0" borderId="0" xfId="58" applyFont="1" applyBorder="1" applyAlignment="1">
      <alignment horizontal="right" shrinkToFit="1"/>
    </xf>
    <xf numFmtId="0" fontId="29" fillId="0" borderId="0" xfId="61" applyFont="1" applyAlignment="1">
      <alignment horizontal="distributed" vertical="center"/>
      <protection/>
    </xf>
    <xf numFmtId="0" fontId="30" fillId="0" borderId="22" xfId="61" applyFont="1" applyBorder="1" applyAlignment="1">
      <alignment horizontal="centerContinuous" vertical="center" shrinkToFit="1"/>
      <protection/>
    </xf>
    <xf numFmtId="38" fontId="30" fillId="0" borderId="23" xfId="49" applyFont="1" applyBorder="1" applyAlignment="1">
      <alignment horizontal="centerContinuous" vertical="center" shrinkToFit="1"/>
    </xf>
    <xf numFmtId="38" fontId="30" fillId="0" borderId="23" xfId="49" applyFont="1" applyBorder="1" applyAlignment="1">
      <alignment horizontal="center" vertical="center" shrinkToFit="1"/>
    </xf>
    <xf numFmtId="38" fontId="30" fillId="0" borderId="24" xfId="49" applyFont="1" applyBorder="1" applyAlignment="1">
      <alignment horizontal="center" vertical="center" shrinkToFit="1"/>
    </xf>
    <xf numFmtId="0" fontId="24" fillId="0" borderId="0" xfId="61" applyFont="1" applyAlignment="1">
      <alignment vertical="center"/>
      <protection/>
    </xf>
    <xf numFmtId="0" fontId="30" fillId="0" borderId="25" xfId="61" applyFont="1" applyBorder="1" applyAlignment="1" quotePrefix="1">
      <alignment horizontal="center" vertical="center" shrinkToFit="1"/>
      <protection/>
    </xf>
    <xf numFmtId="0" fontId="28" fillId="0" borderId="26" xfId="61" applyFont="1" applyBorder="1" applyAlignment="1">
      <alignment horizontal="center" vertical="center" shrinkToFit="1"/>
      <protection/>
    </xf>
    <xf numFmtId="184" fontId="28" fillId="0" borderId="27" xfId="61" applyNumberFormat="1" applyFont="1" applyBorder="1" applyAlignment="1">
      <alignment horizontal="center" vertical="center" shrinkToFit="1"/>
      <protection/>
    </xf>
    <xf numFmtId="38" fontId="28" fillId="0" borderId="28" xfId="49" applyFont="1" applyBorder="1" applyAlignment="1">
      <alignment horizontal="center" vertical="center" shrinkToFit="1"/>
    </xf>
    <xf numFmtId="6" fontId="28" fillId="0" borderId="22" xfId="58" applyFont="1" applyBorder="1" applyAlignment="1">
      <alignment horizontal="center" vertical="center" shrinkToFit="1"/>
    </xf>
    <xf numFmtId="0" fontId="30" fillId="0" borderId="29" xfId="61" applyFont="1" applyBorder="1" applyAlignment="1">
      <alignment vertical="center" shrinkToFit="1"/>
      <protection/>
    </xf>
    <xf numFmtId="0" fontId="28" fillId="0" borderId="30" xfId="61" applyFont="1" applyBorder="1" applyAlignment="1" quotePrefix="1">
      <alignment horizontal="center" vertical="center" shrinkToFit="1"/>
      <protection/>
    </xf>
    <xf numFmtId="184" fontId="28" fillId="0" borderId="31" xfId="61" applyNumberFormat="1" applyFont="1" applyBorder="1" applyAlignment="1">
      <alignment horizontal="center" vertical="center" shrinkToFit="1"/>
      <protection/>
    </xf>
    <xf numFmtId="38" fontId="28" fillId="0" borderId="32" xfId="49" applyFont="1" applyBorder="1" applyAlignment="1">
      <alignment horizontal="center" vertical="center" shrinkToFit="1"/>
    </xf>
    <xf numFmtId="6" fontId="28" fillId="0" borderId="29" xfId="58" applyFont="1" applyBorder="1" applyAlignment="1">
      <alignment horizontal="center" vertical="center" shrinkToFit="1"/>
    </xf>
    <xf numFmtId="0" fontId="28" fillId="0" borderId="32" xfId="61" applyFont="1" applyBorder="1" applyAlignment="1" quotePrefix="1">
      <alignment horizontal="center" vertical="center" shrinkToFit="1"/>
      <protection/>
    </xf>
    <xf numFmtId="0" fontId="30" fillId="0" borderId="33" xfId="61" applyFont="1" applyBorder="1" applyAlignment="1" quotePrefix="1">
      <alignment horizontal="distributed" vertical="center" shrinkToFit="1"/>
      <protection/>
    </xf>
    <xf numFmtId="38" fontId="31" fillId="0" borderId="33" xfId="49" applyFont="1" applyBorder="1" applyAlignment="1">
      <alignment vertical="center" shrinkToFit="1"/>
    </xf>
    <xf numFmtId="38" fontId="32" fillId="0" borderId="33" xfId="49" applyFont="1" applyBorder="1" applyAlignment="1">
      <alignment vertical="center" shrinkToFit="1"/>
    </xf>
    <xf numFmtId="38" fontId="24" fillId="0" borderId="34" xfId="49" applyFont="1" applyBorder="1" applyAlignment="1">
      <alignment vertical="center" shrinkToFit="1"/>
    </xf>
    <xf numFmtId="38" fontId="24" fillId="0" borderId="35" xfId="49" applyFont="1" applyBorder="1" applyAlignment="1">
      <alignment vertical="center" shrinkToFit="1"/>
    </xf>
    <xf numFmtId="38" fontId="24" fillId="0" borderId="36" xfId="49" applyFont="1" applyBorder="1" applyAlignment="1">
      <alignment vertical="center" shrinkToFit="1"/>
    </xf>
    <xf numFmtId="38" fontId="32" fillId="0" borderId="37" xfId="49" applyFont="1" applyBorder="1" applyAlignment="1">
      <alignment vertical="center" shrinkToFit="1"/>
    </xf>
    <xf numFmtId="38" fontId="24" fillId="0" borderId="38" xfId="49" applyFont="1" applyBorder="1" applyAlignment="1">
      <alignment vertical="center"/>
    </xf>
    <xf numFmtId="0" fontId="30" fillId="0" borderId="23" xfId="61" applyFont="1" applyBorder="1" applyAlignment="1">
      <alignment horizontal="distributed" vertical="center" shrinkToFit="1"/>
      <protection/>
    </xf>
    <xf numFmtId="38" fontId="31" fillId="0" borderId="23" xfId="49" applyFont="1" applyBorder="1" applyAlignment="1">
      <alignment vertical="center" shrinkToFit="1"/>
    </xf>
    <xf numFmtId="38" fontId="32" fillId="0" borderId="23" xfId="49" applyFont="1" applyBorder="1" applyAlignment="1">
      <alignment vertical="center" shrinkToFit="1"/>
    </xf>
    <xf numFmtId="38" fontId="24" fillId="0" borderId="39" xfId="49" applyFont="1" applyBorder="1" applyAlignment="1">
      <alignment vertical="center" shrinkToFit="1"/>
    </xf>
    <xf numFmtId="38" fontId="24" fillId="0" borderId="40" xfId="49" applyFont="1" applyBorder="1" applyAlignment="1">
      <alignment vertical="center" shrinkToFit="1"/>
    </xf>
    <xf numFmtId="38" fontId="24" fillId="0" borderId="41" xfId="49" applyFont="1" applyBorder="1" applyAlignment="1">
      <alignment vertical="center" shrinkToFit="1"/>
    </xf>
    <xf numFmtId="38" fontId="24" fillId="0" borderId="23" xfId="49" applyFont="1" applyBorder="1" applyAlignment="1">
      <alignment vertical="center" shrinkToFit="1"/>
    </xf>
    <xf numFmtId="38" fontId="32" fillId="0" borderId="42" xfId="49" applyFont="1" applyBorder="1" applyAlignment="1">
      <alignment vertical="center" shrinkToFit="1"/>
    </xf>
    <xf numFmtId="38" fontId="24" fillId="0" borderId="23" xfId="49" applyFont="1" applyBorder="1" applyAlignment="1">
      <alignment vertical="center"/>
    </xf>
    <xf numFmtId="38" fontId="24" fillId="0" borderId="41" xfId="49" applyFont="1" applyFill="1" applyBorder="1" applyAlignment="1">
      <alignment vertical="center" shrinkToFit="1"/>
    </xf>
    <xf numFmtId="38" fontId="24" fillId="0" borderId="23" xfId="49" applyFont="1" applyFill="1" applyBorder="1" applyAlignment="1">
      <alignment vertical="center" shrinkToFit="1"/>
    </xf>
    <xf numFmtId="0" fontId="30" fillId="0" borderId="43" xfId="61" applyFont="1" applyBorder="1" applyAlignment="1">
      <alignment horizontal="distributed" vertical="center" shrinkToFit="1"/>
      <protection/>
    </xf>
    <xf numFmtId="38" fontId="31" fillId="0" borderId="44" xfId="49" applyFont="1" applyBorder="1" applyAlignment="1">
      <alignment vertical="center" shrinkToFit="1"/>
    </xf>
    <xf numFmtId="38" fontId="32" fillId="0" borderId="44" xfId="49" applyFont="1" applyBorder="1" applyAlignment="1">
      <alignment vertical="center" shrinkToFit="1"/>
    </xf>
    <xf numFmtId="38" fontId="32" fillId="0" borderId="22" xfId="49" applyFont="1" applyBorder="1" applyAlignment="1">
      <alignment vertical="center" shrinkToFit="1"/>
    </xf>
    <xf numFmtId="38" fontId="24" fillId="0" borderId="45" xfId="49" applyFont="1" applyBorder="1" applyAlignment="1">
      <alignment vertical="center" shrinkToFit="1"/>
    </xf>
    <xf numFmtId="38" fontId="24" fillId="0" borderId="46" xfId="49" applyFont="1" applyBorder="1" applyAlignment="1">
      <alignment vertical="center" shrinkToFit="1"/>
    </xf>
    <xf numFmtId="38" fontId="24" fillId="0" borderId="44" xfId="49" applyFont="1" applyBorder="1" applyAlignment="1">
      <alignment vertical="center" shrinkToFit="1"/>
    </xf>
    <xf numFmtId="38" fontId="32" fillId="0" borderId="47" xfId="49" applyFont="1" applyBorder="1" applyAlignment="1">
      <alignment vertical="center" shrinkToFit="1"/>
    </xf>
    <xf numFmtId="38" fontId="24" fillId="0" borderId="44" xfId="49" applyFont="1" applyBorder="1" applyAlignment="1">
      <alignment vertical="center"/>
    </xf>
    <xf numFmtId="0" fontId="31" fillId="0" borderId="38" xfId="61" applyFont="1" applyFill="1" applyBorder="1" applyAlignment="1">
      <alignment horizontal="centerContinuous" vertical="center" shrinkToFit="1"/>
      <protection/>
    </xf>
    <xf numFmtId="38" fontId="24" fillId="0" borderId="48" xfId="49" applyFont="1" applyFill="1" applyBorder="1" applyAlignment="1" quotePrefix="1">
      <alignment vertical="center" shrinkToFit="1"/>
    </xf>
    <xf numFmtId="38" fontId="24" fillId="0" borderId="49" xfId="49" applyFont="1" applyFill="1" applyBorder="1" applyAlignment="1" quotePrefix="1">
      <alignment vertical="center" shrinkToFit="1"/>
    </xf>
    <xf numFmtId="38" fontId="24" fillId="0" borderId="50" xfId="49" applyFont="1" applyFill="1" applyBorder="1" applyAlignment="1" quotePrefix="1">
      <alignment vertical="center" shrinkToFit="1"/>
    </xf>
    <xf numFmtId="215" fontId="24" fillId="0" borderId="38" xfId="61" applyNumberFormat="1" applyFont="1" applyBorder="1" applyAlignment="1">
      <alignment vertical="center"/>
      <protection/>
    </xf>
    <xf numFmtId="0" fontId="30" fillId="0" borderId="33" xfId="61" applyFont="1" applyFill="1" applyBorder="1" applyAlignment="1">
      <alignment horizontal="centerContinuous" vertical="center" shrinkToFit="1"/>
      <protection/>
    </xf>
    <xf numFmtId="38" fontId="24" fillId="0" borderId="37" xfId="49" applyFont="1" applyBorder="1" applyAlignment="1">
      <alignment vertical="center" shrinkToFit="1"/>
    </xf>
    <xf numFmtId="0" fontId="30" fillId="0" borderId="0" xfId="61" applyFont="1" applyBorder="1" applyAlignment="1" quotePrefix="1">
      <alignment horizontal="left" vertical="center" shrinkToFit="1"/>
      <protection/>
    </xf>
    <xf numFmtId="38" fontId="33" fillId="0" borderId="0" xfId="49" applyFont="1" applyBorder="1" applyAlignment="1">
      <alignment vertical="center" shrinkToFit="1"/>
    </xf>
    <xf numFmtId="38" fontId="30" fillId="0" borderId="0" xfId="49" applyFont="1" applyAlignment="1">
      <alignment vertical="center" shrinkToFit="1"/>
    </xf>
    <xf numFmtId="0" fontId="24" fillId="0" borderId="20" xfId="61" applyFont="1" applyBorder="1" applyAlignment="1">
      <alignment vertical="center"/>
      <protection/>
    </xf>
    <xf numFmtId="0" fontId="24" fillId="0" borderId="0" xfId="61" applyFont="1" applyBorder="1" applyAlignment="1">
      <alignment vertical="center"/>
      <protection/>
    </xf>
    <xf numFmtId="0" fontId="30" fillId="0" borderId="0" xfId="61" applyFont="1" applyAlignment="1">
      <alignment vertical="center" shrinkToFit="1"/>
      <protection/>
    </xf>
    <xf numFmtId="38" fontId="30" fillId="0" borderId="0" xfId="49" applyFont="1" applyAlignment="1">
      <alignment horizontal="distributed" vertical="center" shrinkToFit="1"/>
    </xf>
    <xf numFmtId="0" fontId="29" fillId="0" borderId="0" xfId="61" applyFont="1">
      <alignment horizontal="distributed"/>
      <protection/>
    </xf>
    <xf numFmtId="38" fontId="29" fillId="0" borderId="0" xfId="49" applyFont="1" applyAlignment="1">
      <alignment horizontal="distributed" vertical="center" shrinkToFit="1"/>
    </xf>
    <xf numFmtId="6" fontId="26" fillId="0" borderId="0" xfId="58" applyFont="1" applyAlignment="1">
      <alignment horizontal="distributed"/>
    </xf>
    <xf numFmtId="6" fontId="27" fillId="0" borderId="18" xfId="58" applyFont="1" applyBorder="1" applyAlignment="1">
      <alignment horizontal="centerContinuous" shrinkToFit="1"/>
    </xf>
    <xf numFmtId="6" fontId="28" fillId="0" borderId="0" xfId="58" applyFont="1" applyBorder="1" applyAlignment="1" quotePrefix="1">
      <alignment horizontal="left" shrinkToFit="1"/>
    </xf>
    <xf numFmtId="6" fontId="29" fillId="0" borderId="0" xfId="58" applyFont="1" applyAlignment="1">
      <alignment horizontal="distributed"/>
    </xf>
    <xf numFmtId="6" fontId="30" fillId="0" borderId="22" xfId="58" applyFont="1" applyBorder="1" applyAlignment="1">
      <alignment horizontal="centerContinuous" vertical="center" shrinkToFit="1"/>
    </xf>
    <xf numFmtId="6" fontId="24" fillId="0" borderId="0" xfId="58" applyFont="1" applyAlignment="1">
      <alignment vertical="center"/>
    </xf>
    <xf numFmtId="6" fontId="30" fillId="0" borderId="25" xfId="58" applyFont="1" applyBorder="1" applyAlignment="1" quotePrefix="1">
      <alignment horizontal="center" vertical="center" shrinkToFit="1"/>
    </xf>
    <xf numFmtId="6" fontId="28" fillId="0" borderId="26" xfId="58" applyFont="1" applyBorder="1" applyAlignment="1">
      <alignment horizontal="center" vertical="center" shrinkToFit="1"/>
    </xf>
    <xf numFmtId="6" fontId="28" fillId="0" borderId="27" xfId="58" applyFont="1" applyBorder="1" applyAlignment="1">
      <alignment horizontal="center" vertical="center" shrinkToFit="1"/>
    </xf>
    <xf numFmtId="6" fontId="28" fillId="0" borderId="28" xfId="58" applyFont="1" applyBorder="1" applyAlignment="1">
      <alignment horizontal="center" vertical="center" shrinkToFit="1"/>
    </xf>
    <xf numFmtId="6" fontId="30" fillId="0" borderId="29" xfId="58" applyFont="1" applyBorder="1" applyAlignment="1">
      <alignment vertical="center" shrinkToFit="1"/>
    </xf>
    <xf numFmtId="6" fontId="28" fillId="0" borderId="30" xfId="58" applyFont="1" applyBorder="1" applyAlignment="1">
      <alignment horizontal="center" vertical="center" shrinkToFit="1"/>
    </xf>
    <xf numFmtId="6" fontId="28" fillId="0" borderId="31" xfId="58" applyFont="1" applyBorder="1" applyAlignment="1">
      <alignment horizontal="center" vertical="center" shrinkToFit="1"/>
    </xf>
    <xf numFmtId="6" fontId="28" fillId="0" borderId="32" xfId="58" applyFont="1" applyBorder="1" applyAlignment="1">
      <alignment horizontal="center" vertical="center" shrinkToFit="1"/>
    </xf>
    <xf numFmtId="38" fontId="32" fillId="0" borderId="51" xfId="49" applyFont="1" applyBorder="1" applyAlignment="1">
      <alignment vertical="center" shrinkToFit="1"/>
    </xf>
    <xf numFmtId="38" fontId="24" fillId="0" borderId="33" xfId="49" applyFont="1" applyBorder="1" applyAlignment="1">
      <alignment vertical="center" shrinkToFit="1"/>
    </xf>
    <xf numFmtId="38" fontId="24" fillId="0" borderId="42" xfId="49" applyFont="1" applyBorder="1" applyAlignment="1">
      <alignment vertical="center" shrinkToFit="1"/>
    </xf>
    <xf numFmtId="38" fontId="32" fillId="0" borderId="23" xfId="49" applyFont="1" applyBorder="1" applyAlignment="1" quotePrefix="1">
      <alignment vertical="center" shrinkToFit="1"/>
    </xf>
    <xf numFmtId="38" fontId="32" fillId="0" borderId="25" xfId="49" applyFont="1" applyFill="1" applyBorder="1" applyAlignment="1">
      <alignment vertical="center" shrinkToFit="1"/>
    </xf>
    <xf numFmtId="38" fontId="32" fillId="0" borderId="44" xfId="49" applyFont="1" applyFill="1" applyBorder="1" applyAlignment="1">
      <alignment vertical="center" shrinkToFit="1"/>
    </xf>
    <xf numFmtId="38" fontId="24" fillId="0" borderId="22" xfId="49" applyFont="1" applyBorder="1" applyAlignment="1">
      <alignment vertical="center" shrinkToFit="1"/>
    </xf>
    <xf numFmtId="38" fontId="24" fillId="0" borderId="47" xfId="49" applyFont="1" applyBorder="1" applyAlignment="1">
      <alignment vertical="center" shrinkToFit="1"/>
    </xf>
    <xf numFmtId="38" fontId="24" fillId="0" borderId="52" xfId="49" applyFont="1" applyFill="1" applyBorder="1" applyAlignment="1" quotePrefix="1">
      <alignment vertical="center" shrinkToFit="1"/>
    </xf>
    <xf numFmtId="38" fontId="24" fillId="0" borderId="53" xfId="49" applyFont="1" applyFill="1" applyBorder="1" applyAlignment="1" quotePrefix="1">
      <alignment vertical="center" shrinkToFit="1"/>
    </xf>
    <xf numFmtId="184" fontId="24" fillId="0" borderId="53" xfId="49" applyNumberFormat="1" applyFont="1" applyFill="1" applyBorder="1" applyAlignment="1" quotePrefix="1">
      <alignment horizontal="right" vertical="center" shrinkToFit="1"/>
    </xf>
    <xf numFmtId="184" fontId="24" fillId="0" borderId="54" xfId="49" applyNumberFormat="1" applyFont="1" applyFill="1" applyBorder="1" applyAlignment="1" quotePrefix="1">
      <alignment horizontal="right" vertical="center" shrinkToFit="1"/>
    </xf>
    <xf numFmtId="38" fontId="24" fillId="0" borderId="55" xfId="49" applyFont="1" applyFill="1" applyBorder="1" applyAlignment="1" quotePrefix="1">
      <alignment vertical="center" shrinkToFit="1"/>
    </xf>
    <xf numFmtId="215" fontId="24" fillId="0" borderId="56" xfId="61" applyNumberFormat="1" applyFont="1" applyBorder="1" applyAlignment="1">
      <alignment vertical="center"/>
      <protection/>
    </xf>
    <xf numFmtId="222" fontId="24" fillId="0" borderId="34" xfId="49" applyNumberFormat="1" applyFont="1" applyFill="1" applyBorder="1" applyAlignment="1" quotePrefix="1">
      <alignment horizontal="right" vertical="center" shrinkToFit="1"/>
    </xf>
    <xf numFmtId="222" fontId="24" fillId="0" borderId="35" xfId="49" applyNumberFormat="1" applyFont="1" applyFill="1" applyBorder="1" applyAlignment="1" quotePrefix="1">
      <alignment horizontal="right" vertical="center" shrinkToFit="1"/>
    </xf>
    <xf numFmtId="222" fontId="24" fillId="0" borderId="36" xfId="49" applyNumberFormat="1" applyFont="1" applyFill="1" applyBorder="1" applyAlignment="1" quotePrefix="1">
      <alignment horizontal="right" vertical="center" shrinkToFit="1"/>
    </xf>
    <xf numFmtId="38" fontId="24" fillId="0" borderId="57" xfId="49" applyFont="1" applyFill="1" applyBorder="1" applyAlignment="1" quotePrefix="1">
      <alignment horizontal="right" vertical="center" shrinkToFit="1"/>
    </xf>
    <xf numFmtId="49" fontId="24" fillId="0" borderId="33" xfId="61" applyNumberFormat="1" applyFont="1" applyBorder="1" applyAlignment="1">
      <alignment horizontal="right" vertical="center"/>
      <protection/>
    </xf>
    <xf numFmtId="0" fontId="24" fillId="0" borderId="25" xfId="61" applyFont="1" applyBorder="1" applyAlignment="1">
      <alignment vertical="center"/>
      <protection/>
    </xf>
    <xf numFmtId="0" fontId="24" fillId="0" borderId="51" xfId="61" applyFont="1" applyBorder="1" applyAlignment="1">
      <alignment vertical="center"/>
      <protection/>
    </xf>
    <xf numFmtId="213" fontId="24" fillId="0" borderId="37" xfId="61" applyNumberFormat="1" applyFont="1" applyBorder="1" applyAlignment="1">
      <alignment vertical="center"/>
      <protection/>
    </xf>
    <xf numFmtId="213" fontId="24" fillId="0" borderId="25" xfId="61" applyNumberFormat="1" applyFont="1" applyBorder="1" applyAlignment="1">
      <alignment vertical="center"/>
      <protection/>
    </xf>
    <xf numFmtId="213" fontId="24" fillId="0" borderId="0" xfId="61" applyNumberFormat="1" applyFont="1" applyBorder="1" applyAlignment="1">
      <alignment vertical="center"/>
      <protection/>
    </xf>
    <xf numFmtId="0" fontId="30" fillId="0" borderId="0" xfId="61" applyFont="1" applyBorder="1" applyAlignment="1">
      <alignment horizontal="left" vertical="center"/>
      <protection/>
    </xf>
    <xf numFmtId="0" fontId="24" fillId="0" borderId="0" xfId="61" applyFont="1" applyAlignment="1">
      <alignment vertical="center" shrinkToFit="1"/>
      <protection/>
    </xf>
    <xf numFmtId="0" fontId="30" fillId="0" borderId="0" xfId="61" applyFont="1" applyAlignment="1">
      <alignment shrinkToFit="1"/>
      <protection/>
    </xf>
    <xf numFmtId="38" fontId="30" fillId="0" borderId="0" xfId="49" applyFont="1" applyAlignment="1">
      <alignment shrinkToFit="1"/>
    </xf>
    <xf numFmtId="0" fontId="29" fillId="0" borderId="0" xfId="61" applyFont="1" applyAlignment="1">
      <alignment horizontal="distributed" shrinkToFit="1"/>
      <protection/>
    </xf>
    <xf numFmtId="0" fontId="29" fillId="0" borderId="0" xfId="0" applyFont="1" applyAlignment="1">
      <alignment horizontal="justify"/>
    </xf>
    <xf numFmtId="0" fontId="34" fillId="0" borderId="58" xfId="0" applyFont="1" applyBorder="1" applyAlignment="1">
      <alignment horizontal="justify" vertical="top" wrapText="1"/>
    </xf>
    <xf numFmtId="0" fontId="34" fillId="0" borderId="25" xfId="0" applyFont="1" applyBorder="1" applyAlignment="1">
      <alignment horizontal="justify" vertical="top" wrapText="1"/>
    </xf>
    <xf numFmtId="0" fontId="29" fillId="0" borderId="25" xfId="0" applyFont="1" applyBorder="1" applyAlignment="1">
      <alignment horizontal="justify" vertical="top" wrapText="1"/>
    </xf>
    <xf numFmtId="0" fontId="34" fillId="0" borderId="51" xfId="0" applyFont="1" applyBorder="1" applyAlignment="1">
      <alignment horizontal="justify" vertical="top" wrapText="1"/>
    </xf>
    <xf numFmtId="0" fontId="29" fillId="0" borderId="0" xfId="0" applyFont="1" applyAlignment="1">
      <alignment horizontal="center"/>
    </xf>
    <xf numFmtId="0" fontId="29" fillId="0" borderId="58" xfId="0" applyFont="1" applyBorder="1" applyAlignment="1">
      <alignment horizontal="justify" vertical="top" wrapText="1"/>
    </xf>
    <xf numFmtId="0" fontId="29" fillId="0" borderId="51" xfId="0" applyFont="1" applyBorder="1" applyAlignment="1">
      <alignment horizontal="justify" vertical="top" wrapText="1"/>
    </xf>
    <xf numFmtId="0" fontId="29" fillId="0" borderId="0" xfId="0" applyFont="1" applyAlignment="1">
      <alignment vertical="top"/>
    </xf>
    <xf numFmtId="0" fontId="29" fillId="0" borderId="25" xfId="0" applyFont="1" applyBorder="1" applyAlignment="1">
      <alignment horizontal="center" vertical="top" wrapText="1"/>
    </xf>
    <xf numFmtId="3" fontId="29" fillId="0" borderId="25" xfId="0" applyNumberFormat="1" applyFont="1" applyBorder="1" applyAlignment="1">
      <alignment horizontal="center" vertical="top" wrapText="1"/>
    </xf>
    <xf numFmtId="0" fontId="34" fillId="0" borderId="25" xfId="0" applyFont="1" applyBorder="1" applyAlignment="1">
      <alignment horizontal="center" vertical="top" wrapText="1"/>
    </xf>
    <xf numFmtId="0" fontId="29" fillId="0" borderId="59" xfId="0" applyFont="1" applyBorder="1" applyAlignment="1">
      <alignment horizontal="center" vertical="top" wrapText="1"/>
    </xf>
    <xf numFmtId="3" fontId="29" fillId="0" borderId="59" xfId="0" applyNumberFormat="1" applyFont="1" applyBorder="1" applyAlignment="1">
      <alignment horizontal="center" vertical="top" wrapText="1"/>
    </xf>
    <xf numFmtId="0" fontId="34" fillId="0" borderId="58" xfId="0" applyFont="1" applyBorder="1" applyAlignment="1">
      <alignment vertical="top"/>
    </xf>
    <xf numFmtId="0" fontId="29" fillId="0" borderId="25" xfId="0" applyFont="1" applyBorder="1" applyAlignment="1">
      <alignment vertical="top"/>
    </xf>
    <xf numFmtId="0" fontId="0" fillId="0" borderId="47" xfId="0" applyBorder="1" applyAlignment="1">
      <alignment/>
    </xf>
    <xf numFmtId="0" fontId="0" fillId="0" borderId="57" xfId="0" applyBorder="1" applyAlignment="1">
      <alignment/>
    </xf>
    <xf numFmtId="0" fontId="0" fillId="0" borderId="51" xfId="0" applyBorder="1" applyAlignment="1">
      <alignment/>
    </xf>
    <xf numFmtId="0" fontId="0" fillId="0" borderId="18" xfId="0" applyBorder="1" applyAlignment="1">
      <alignment/>
    </xf>
    <xf numFmtId="0" fontId="0" fillId="0" borderId="37" xfId="0" applyBorder="1" applyAlignment="1">
      <alignment/>
    </xf>
    <xf numFmtId="0" fontId="35" fillId="0" borderId="0" xfId="0" applyFont="1" applyAlignment="1">
      <alignment wrapText="1"/>
    </xf>
    <xf numFmtId="58" fontId="35" fillId="0" borderId="0" xfId="0" applyNumberFormat="1" applyFont="1" applyAlignment="1">
      <alignment wrapText="1"/>
    </xf>
    <xf numFmtId="0" fontId="35" fillId="0" borderId="0" xfId="0" applyFont="1" applyAlignment="1">
      <alignment horizontal="center" wrapText="1"/>
    </xf>
    <xf numFmtId="0" fontId="36" fillId="0" borderId="0" xfId="0" applyFont="1" applyAlignment="1">
      <alignment horizontal="justify"/>
    </xf>
    <xf numFmtId="0" fontId="37" fillId="0" borderId="0" xfId="0" applyFont="1" applyAlignment="1">
      <alignment horizontal="center"/>
    </xf>
    <xf numFmtId="38" fontId="29" fillId="33" borderId="0" xfId="49" applyFont="1" applyFill="1" applyAlignment="1">
      <alignment/>
    </xf>
    <xf numFmtId="38" fontId="26" fillId="33" borderId="0" xfId="49" applyFont="1" applyFill="1" applyBorder="1" applyAlignment="1">
      <alignment horizontal="center"/>
    </xf>
    <xf numFmtId="38" fontId="24" fillId="33" borderId="0" xfId="49" applyFont="1" applyFill="1" applyAlignment="1">
      <alignment horizontal="center" vertical="center"/>
    </xf>
    <xf numFmtId="38" fontId="36" fillId="33" borderId="0" xfId="49" applyFont="1" applyFill="1" applyBorder="1" applyAlignment="1">
      <alignment horizontal="center" vertical="center"/>
    </xf>
    <xf numFmtId="38" fontId="36" fillId="33" borderId="0" xfId="49" applyFont="1" applyFill="1" applyAlignment="1">
      <alignment horizontal="center" vertical="center"/>
    </xf>
    <xf numFmtId="38" fontId="36" fillId="33" borderId="60" xfId="49" applyFont="1" applyFill="1" applyBorder="1" applyAlignment="1">
      <alignment horizontal="center" vertical="center"/>
    </xf>
    <xf numFmtId="38" fontId="36" fillId="33" borderId="61" xfId="49" applyFont="1" applyFill="1" applyBorder="1" applyAlignment="1">
      <alignment horizontal="center" vertical="center"/>
    </xf>
    <xf numFmtId="38" fontId="36" fillId="33" borderId="42" xfId="49" applyFont="1" applyFill="1" applyBorder="1" applyAlignment="1">
      <alignment horizontal="center" vertical="center"/>
    </xf>
    <xf numFmtId="38" fontId="36" fillId="33" borderId="24" xfId="49" applyFont="1" applyFill="1" applyBorder="1" applyAlignment="1">
      <alignment horizontal="center" vertical="center"/>
    </xf>
    <xf numFmtId="38" fontId="36" fillId="33" borderId="62" xfId="49" applyFont="1" applyFill="1" applyBorder="1" applyAlignment="1">
      <alignment/>
    </xf>
    <xf numFmtId="38" fontId="36" fillId="33" borderId="63" xfId="49" applyFont="1" applyFill="1" applyBorder="1" applyAlignment="1">
      <alignment/>
    </xf>
    <xf numFmtId="38" fontId="36" fillId="33" borderId="64" xfId="49" applyFont="1" applyFill="1" applyBorder="1" applyAlignment="1">
      <alignment horizontal="center"/>
    </xf>
    <xf numFmtId="38" fontId="36" fillId="33" borderId="65" xfId="49" applyFont="1" applyFill="1" applyBorder="1" applyAlignment="1">
      <alignment horizontal="center"/>
    </xf>
    <xf numFmtId="38" fontId="36" fillId="33" borderId="66" xfId="49" applyFont="1" applyFill="1" applyBorder="1" applyAlignment="1">
      <alignment horizontal="center"/>
    </xf>
    <xf numFmtId="38" fontId="36" fillId="33" borderId="67" xfId="49" applyFont="1" applyFill="1" applyBorder="1" applyAlignment="1">
      <alignment horizontal="center"/>
    </xf>
    <xf numFmtId="38" fontId="36" fillId="33" borderId="0" xfId="49" applyFont="1" applyFill="1" applyBorder="1" applyAlignment="1">
      <alignment horizontal="center"/>
    </xf>
    <xf numFmtId="38" fontId="36" fillId="33" borderId="68" xfId="49" applyFont="1" applyFill="1" applyBorder="1" applyAlignment="1">
      <alignment horizontal="center"/>
    </xf>
    <xf numFmtId="38" fontId="36" fillId="33" borderId="62" xfId="49" applyFont="1" applyFill="1" applyBorder="1" applyAlignment="1">
      <alignment horizontal="center"/>
    </xf>
    <xf numFmtId="38" fontId="36" fillId="33" borderId="69" xfId="49" applyFont="1" applyFill="1" applyBorder="1" applyAlignment="1">
      <alignment/>
    </xf>
    <xf numFmtId="38" fontId="36" fillId="33" borderId="70" xfId="49" applyFont="1" applyFill="1" applyBorder="1" applyAlignment="1">
      <alignment horizontal="center"/>
    </xf>
    <xf numFmtId="38" fontId="36" fillId="33" borderId="71" xfId="49" applyFont="1" applyFill="1" applyBorder="1" applyAlignment="1">
      <alignment horizontal="center"/>
    </xf>
    <xf numFmtId="38" fontId="36" fillId="33" borderId="72" xfId="49" applyFont="1" applyFill="1" applyBorder="1" applyAlignment="1">
      <alignment horizontal="center"/>
    </xf>
    <xf numFmtId="38" fontId="36" fillId="33" borderId="72" xfId="49" applyFont="1" applyFill="1" applyBorder="1" applyAlignment="1">
      <alignment/>
    </xf>
    <xf numFmtId="38" fontId="36" fillId="33" borderId="73" xfId="49" applyFont="1" applyFill="1" applyBorder="1" applyAlignment="1">
      <alignment horizontal="center"/>
    </xf>
    <xf numFmtId="38" fontId="36" fillId="33" borderId="74" xfId="49" applyFont="1" applyFill="1" applyBorder="1" applyAlignment="1">
      <alignment horizontal="center"/>
    </xf>
    <xf numFmtId="38" fontId="36" fillId="35" borderId="72" xfId="49" applyFont="1" applyFill="1" applyBorder="1" applyAlignment="1">
      <alignment/>
    </xf>
    <xf numFmtId="38" fontId="36" fillId="35" borderId="69" xfId="49" applyFont="1" applyFill="1" applyBorder="1" applyAlignment="1">
      <alignment/>
    </xf>
    <xf numFmtId="38" fontId="36" fillId="35" borderId="70" xfId="49" applyFont="1" applyFill="1" applyBorder="1" applyAlignment="1">
      <alignment horizontal="center"/>
    </xf>
    <xf numFmtId="38" fontId="36" fillId="35" borderId="65" xfId="49" applyFont="1" applyFill="1" applyBorder="1" applyAlignment="1">
      <alignment horizontal="center"/>
    </xf>
    <xf numFmtId="38" fontId="36" fillId="35" borderId="71" xfId="49" applyFont="1" applyFill="1" applyBorder="1" applyAlignment="1">
      <alignment horizontal="center"/>
    </xf>
    <xf numFmtId="38" fontId="36" fillId="35" borderId="72" xfId="49" applyFont="1" applyFill="1" applyBorder="1" applyAlignment="1">
      <alignment horizontal="center"/>
    </xf>
    <xf numFmtId="38" fontId="36" fillId="35" borderId="74" xfId="49" applyFont="1" applyFill="1" applyBorder="1" applyAlignment="1">
      <alignment horizontal="center"/>
    </xf>
    <xf numFmtId="38" fontId="36" fillId="33" borderId="75" xfId="49" applyFont="1" applyFill="1" applyBorder="1" applyAlignment="1">
      <alignment/>
    </xf>
    <xf numFmtId="38" fontId="36" fillId="33" borderId="76" xfId="49" applyFont="1" applyFill="1" applyBorder="1" applyAlignment="1">
      <alignment/>
    </xf>
    <xf numFmtId="38" fontId="36" fillId="33" borderId="77" xfId="49" applyFont="1" applyFill="1" applyBorder="1" applyAlignment="1">
      <alignment horizontal="center"/>
    </xf>
    <xf numFmtId="38" fontId="36" fillId="33" borderId="78" xfId="49" applyFont="1" applyFill="1" applyBorder="1" applyAlignment="1">
      <alignment horizontal="center"/>
    </xf>
    <xf numFmtId="38" fontId="36" fillId="33" borderId="79" xfId="49" applyFont="1" applyFill="1" applyBorder="1" applyAlignment="1">
      <alignment horizontal="center"/>
    </xf>
    <xf numFmtId="38" fontId="36" fillId="33" borderId="75" xfId="49" applyFont="1" applyFill="1" applyBorder="1" applyAlignment="1">
      <alignment horizontal="center"/>
    </xf>
    <xf numFmtId="38" fontId="36" fillId="33" borderId="80" xfId="49" applyFont="1" applyFill="1" applyBorder="1" applyAlignment="1">
      <alignment horizontal="center"/>
    </xf>
    <xf numFmtId="38" fontId="36" fillId="33" borderId="81" xfId="49" applyFont="1" applyFill="1" applyBorder="1" applyAlignment="1">
      <alignment horizontal="center"/>
    </xf>
    <xf numFmtId="38" fontId="36" fillId="35" borderId="62" xfId="49" applyFont="1" applyFill="1" applyBorder="1" applyAlignment="1">
      <alignment/>
    </xf>
    <xf numFmtId="38" fontId="36" fillId="33" borderId="82" xfId="49" applyFont="1" applyFill="1" applyBorder="1" applyAlignment="1">
      <alignment/>
    </xf>
    <xf numFmtId="38" fontId="36" fillId="33" borderId="83" xfId="49" applyFont="1" applyFill="1" applyBorder="1" applyAlignment="1">
      <alignment horizontal="center"/>
    </xf>
    <xf numFmtId="38" fontId="36" fillId="33" borderId="84" xfId="49" applyFont="1" applyFill="1" applyBorder="1" applyAlignment="1">
      <alignment horizontal="center"/>
    </xf>
    <xf numFmtId="38" fontId="36" fillId="35" borderId="75" xfId="49" applyFont="1" applyFill="1" applyBorder="1" applyAlignment="1">
      <alignment/>
    </xf>
    <xf numFmtId="38" fontId="36" fillId="35" borderId="76" xfId="49" applyFont="1" applyFill="1" applyBorder="1" applyAlignment="1">
      <alignment/>
    </xf>
    <xf numFmtId="38" fontId="36" fillId="35" borderId="85" xfId="49" applyFont="1" applyFill="1" applyBorder="1" applyAlignment="1">
      <alignment horizontal="center"/>
    </xf>
    <xf numFmtId="38" fontId="36" fillId="35" borderId="78" xfId="49" applyFont="1" applyFill="1" applyBorder="1" applyAlignment="1">
      <alignment horizontal="center"/>
    </xf>
    <xf numFmtId="38" fontId="36" fillId="35" borderId="86" xfId="49" applyFont="1" applyFill="1" applyBorder="1" applyAlignment="1">
      <alignment horizontal="center"/>
    </xf>
    <xf numFmtId="38" fontId="36" fillId="35" borderId="75" xfId="49" applyFont="1" applyFill="1" applyBorder="1" applyAlignment="1">
      <alignment horizontal="center"/>
    </xf>
    <xf numFmtId="38" fontId="36" fillId="35" borderId="80" xfId="49" applyFont="1" applyFill="1" applyBorder="1" applyAlignment="1">
      <alignment horizontal="center"/>
    </xf>
    <xf numFmtId="38" fontId="36" fillId="35" borderId="63" xfId="49" applyFont="1" applyFill="1" applyBorder="1" applyAlignment="1">
      <alignment/>
    </xf>
    <xf numFmtId="38" fontId="36" fillId="35" borderId="64" xfId="49" applyFont="1" applyFill="1" applyBorder="1" applyAlignment="1">
      <alignment horizontal="center"/>
    </xf>
    <xf numFmtId="38" fontId="36" fillId="35" borderId="66" xfId="49" applyFont="1" applyFill="1" applyBorder="1" applyAlignment="1">
      <alignment horizontal="center"/>
    </xf>
    <xf numFmtId="38" fontId="36" fillId="35" borderId="81" xfId="49" applyFont="1" applyFill="1" applyBorder="1" applyAlignment="1">
      <alignment horizontal="center"/>
    </xf>
    <xf numFmtId="38" fontId="36" fillId="35" borderId="62" xfId="49" applyFont="1" applyFill="1" applyBorder="1" applyAlignment="1">
      <alignment horizontal="center"/>
    </xf>
    <xf numFmtId="38" fontId="36" fillId="35" borderId="87" xfId="49" applyFont="1" applyFill="1" applyBorder="1" applyAlignment="1">
      <alignment horizontal="center"/>
    </xf>
    <xf numFmtId="38" fontId="36" fillId="33" borderId="85" xfId="49" applyFont="1" applyFill="1" applyBorder="1" applyAlignment="1">
      <alignment horizontal="center"/>
    </xf>
    <xf numFmtId="38" fontId="29" fillId="33" borderId="0" xfId="49" applyFont="1" applyFill="1" applyBorder="1" applyAlignment="1">
      <alignment/>
    </xf>
    <xf numFmtId="38" fontId="29" fillId="33" borderId="0" xfId="49" applyFont="1" applyFill="1" applyBorder="1" applyAlignment="1">
      <alignment horizontal="center"/>
    </xf>
    <xf numFmtId="38" fontId="36" fillId="33" borderId="86" xfId="49" applyFont="1" applyFill="1" applyBorder="1" applyAlignment="1">
      <alignment horizontal="center"/>
    </xf>
    <xf numFmtId="38" fontId="29" fillId="33" borderId="0" xfId="49" applyFont="1" applyFill="1" applyAlignment="1">
      <alignment horizontal="center"/>
    </xf>
    <xf numFmtId="0" fontId="39" fillId="33" borderId="0" xfId="0" applyFont="1" applyFill="1" applyAlignment="1">
      <alignment/>
    </xf>
    <xf numFmtId="38" fontId="36" fillId="33" borderId="0" xfId="49" applyFont="1" applyFill="1" applyAlignment="1">
      <alignment/>
    </xf>
    <xf numFmtId="38" fontId="36" fillId="33" borderId="0" xfId="49" applyFont="1" applyFill="1" applyAlignment="1">
      <alignment horizontal="center"/>
    </xf>
    <xf numFmtId="38" fontId="36" fillId="33" borderId="23" xfId="49" applyFont="1" applyFill="1" applyBorder="1" applyAlignment="1">
      <alignment horizontal="right"/>
    </xf>
    <xf numFmtId="38" fontId="40" fillId="33" borderId="0" xfId="49" applyFont="1" applyFill="1" applyBorder="1" applyAlignment="1">
      <alignment vertical="center" wrapText="1"/>
    </xf>
    <xf numFmtId="38" fontId="40" fillId="33" borderId="0" xfId="49" applyFont="1" applyFill="1" applyBorder="1" applyAlignment="1">
      <alignment vertical="center"/>
    </xf>
    <xf numFmtId="0" fontId="0" fillId="33" borderId="0" xfId="0" applyFont="1" applyFill="1" applyAlignment="1">
      <alignment/>
    </xf>
    <xf numFmtId="0" fontId="39" fillId="0" borderId="0" xfId="0" applyFont="1" applyAlignment="1">
      <alignment/>
    </xf>
    <xf numFmtId="0" fontId="42" fillId="33" borderId="23" xfId="0" applyFont="1" applyFill="1" applyBorder="1" applyAlignment="1">
      <alignment horizontal="center" vertical="center"/>
    </xf>
    <xf numFmtId="0" fontId="42" fillId="0" borderId="23" xfId="0" applyFont="1" applyBorder="1" applyAlignment="1">
      <alignment horizontal="center" vertical="center" wrapText="1"/>
    </xf>
    <xf numFmtId="0" fontId="42" fillId="0" borderId="23" xfId="0" applyFont="1" applyBorder="1" applyAlignment="1">
      <alignment horizontal="center" vertical="center"/>
    </xf>
    <xf numFmtId="0" fontId="42" fillId="0" borderId="0" xfId="0" applyFont="1" applyAlignment="1">
      <alignment horizontal="center" vertical="center"/>
    </xf>
    <xf numFmtId="0" fontId="0" fillId="33" borderId="23" xfId="0" applyFont="1" applyFill="1" applyBorder="1" applyAlignment="1">
      <alignment vertical="center"/>
    </xf>
    <xf numFmtId="0" fontId="0" fillId="0" borderId="23" xfId="0" applyFont="1" applyBorder="1" applyAlignment="1">
      <alignment horizontal="center" vertical="center"/>
    </xf>
    <xf numFmtId="0" fontId="0" fillId="35"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0" xfId="0" applyFont="1" applyAlignment="1">
      <alignment horizontal="center" vertical="center"/>
    </xf>
    <xf numFmtId="0" fontId="39" fillId="33" borderId="0" xfId="0" applyFont="1" applyFill="1" applyAlignment="1">
      <alignment horizontal="center" vertical="center"/>
    </xf>
    <xf numFmtId="0" fontId="39" fillId="0" borderId="0" xfId="0" applyFont="1" applyAlignment="1">
      <alignment horizontal="center" vertical="center"/>
    </xf>
    <xf numFmtId="225" fontId="29" fillId="33" borderId="0" xfId="49" applyNumberFormat="1" applyFont="1" applyFill="1" applyAlignment="1">
      <alignment/>
    </xf>
    <xf numFmtId="225" fontId="29" fillId="33" borderId="0" xfId="49" applyNumberFormat="1" applyFont="1" applyFill="1" applyAlignment="1">
      <alignment horizontal="center"/>
    </xf>
    <xf numFmtId="38" fontId="30" fillId="0" borderId="24" xfId="49" applyFont="1" applyBorder="1" applyAlignment="1">
      <alignment horizontal="center" vertical="center" shrinkToFit="1"/>
    </xf>
    <xf numFmtId="38" fontId="30" fillId="0" borderId="42" xfId="49" applyFont="1" applyBorder="1" applyAlignment="1">
      <alignment horizontal="center" vertical="center" shrinkToFit="1"/>
    </xf>
    <xf numFmtId="6" fontId="25" fillId="0" borderId="0" xfId="58" applyFont="1" applyAlignment="1">
      <alignment horizontal="center" shrinkToFit="1"/>
    </xf>
    <xf numFmtId="6" fontId="30" fillId="0" borderId="22" xfId="58" applyFont="1" applyBorder="1" applyAlignment="1">
      <alignment horizontal="center" vertical="center" shrinkToFit="1"/>
    </xf>
    <xf numFmtId="6" fontId="30" fillId="0" borderId="29" xfId="58" applyFont="1" applyBorder="1" applyAlignment="1">
      <alignment horizontal="center" vertical="center" shrinkToFit="1"/>
    </xf>
    <xf numFmtId="222" fontId="24" fillId="0" borderId="88" xfId="61" applyNumberFormat="1" applyFont="1" applyBorder="1" applyAlignment="1" quotePrefix="1">
      <alignment horizontal="right" vertical="top" shrinkToFit="1"/>
      <protection/>
    </xf>
    <xf numFmtId="0" fontId="24" fillId="0" borderId="33" xfId="61" applyFont="1" applyBorder="1" applyAlignment="1">
      <alignment horizontal="right" vertical="top" shrinkToFit="1"/>
      <protection/>
    </xf>
    <xf numFmtId="215" fontId="24" fillId="0" borderId="58" xfId="61" applyNumberFormat="1" applyFont="1" applyBorder="1" applyAlignment="1">
      <alignment horizontal="right" vertical="center"/>
      <protection/>
    </xf>
    <xf numFmtId="215" fontId="24" fillId="0" borderId="20" xfId="61" applyNumberFormat="1" applyFont="1" applyBorder="1" applyAlignment="1">
      <alignment horizontal="right" vertical="center"/>
      <protection/>
    </xf>
    <xf numFmtId="0" fontId="24" fillId="0" borderId="47" xfId="61" applyFont="1" applyBorder="1" applyAlignment="1">
      <alignment horizontal="right" vertical="center"/>
      <protection/>
    </xf>
    <xf numFmtId="213" fontId="24" fillId="0" borderId="51" xfId="61" applyNumberFormat="1" applyFont="1" applyBorder="1" applyAlignment="1">
      <alignment horizontal="right" vertical="center"/>
      <protection/>
    </xf>
    <xf numFmtId="213" fontId="24" fillId="0" borderId="18" xfId="61" applyNumberFormat="1" applyFont="1" applyBorder="1" applyAlignment="1">
      <alignment horizontal="right" vertical="center"/>
      <protection/>
    </xf>
    <xf numFmtId="213" fontId="24" fillId="0" borderId="37" xfId="61" applyNumberFormat="1" applyFont="1" applyBorder="1" applyAlignment="1">
      <alignment horizontal="right" vertical="center"/>
      <protection/>
    </xf>
    <xf numFmtId="0" fontId="30" fillId="0" borderId="88" xfId="61" applyFont="1" applyFill="1" applyBorder="1" applyAlignment="1">
      <alignment horizontal="center" vertical="center" shrinkToFit="1"/>
      <protection/>
    </xf>
    <xf numFmtId="0" fontId="30" fillId="0" borderId="33" xfId="61" applyFont="1" applyFill="1" applyBorder="1" applyAlignment="1">
      <alignment horizontal="center" vertical="center" shrinkToFit="1"/>
      <protection/>
    </xf>
    <xf numFmtId="38" fontId="24" fillId="0" borderId="56" xfId="49" applyFont="1" applyFill="1" applyBorder="1" applyAlignment="1" quotePrefix="1">
      <alignment horizontal="right" vertical="center" shrinkToFit="1"/>
    </xf>
    <xf numFmtId="38" fontId="24" fillId="0" borderId="88" xfId="49" applyFont="1" applyFill="1" applyBorder="1" applyAlignment="1" quotePrefix="1">
      <alignment horizontal="right" vertical="center" shrinkToFit="1"/>
    </xf>
    <xf numFmtId="0" fontId="24" fillId="0" borderId="88" xfId="61" applyFont="1" applyBorder="1" applyAlignment="1">
      <alignment horizontal="right" vertical="center" shrinkToFit="1"/>
      <protection/>
    </xf>
    <xf numFmtId="0" fontId="24" fillId="0" borderId="33" xfId="61" applyFont="1" applyBorder="1" applyAlignment="1">
      <alignment horizontal="right" vertical="center" shrinkToFit="1"/>
      <protection/>
    </xf>
    <xf numFmtId="38" fontId="24" fillId="0" borderId="56" xfId="49" applyFont="1" applyFill="1" applyBorder="1" applyAlignment="1" quotePrefix="1">
      <alignment shrinkToFit="1"/>
    </xf>
    <xf numFmtId="0" fontId="24" fillId="0" borderId="88" xfId="61" applyFont="1" applyBorder="1" applyAlignment="1">
      <alignment horizontal="distributed" shrinkToFit="1"/>
      <protection/>
    </xf>
    <xf numFmtId="0" fontId="30" fillId="0" borderId="89" xfId="61" applyFont="1" applyFill="1" applyBorder="1" applyAlignment="1">
      <alignment horizontal="center" vertical="center" shrinkToFit="1"/>
      <protection/>
    </xf>
    <xf numFmtId="0" fontId="30" fillId="0" borderId="51" xfId="61" applyFont="1" applyFill="1" applyBorder="1" applyAlignment="1">
      <alignment horizontal="center" vertical="center" shrinkToFit="1"/>
      <protection/>
    </xf>
    <xf numFmtId="0" fontId="24" fillId="0" borderId="88" xfId="61" applyFont="1" applyBorder="1" applyAlignment="1">
      <alignment horizontal="distributed" vertical="center" shrinkToFit="1"/>
      <protection/>
    </xf>
    <xf numFmtId="0" fontId="24" fillId="0" borderId="33" xfId="61" applyFont="1" applyBorder="1" applyAlignment="1">
      <alignment horizontal="distributed" vertical="center" shrinkToFit="1"/>
      <protection/>
    </xf>
    <xf numFmtId="38" fontId="30" fillId="0" borderId="12" xfId="49" applyFont="1" applyBorder="1" applyAlignment="1">
      <alignment horizontal="center" vertical="center" shrinkToFit="1"/>
    </xf>
    <xf numFmtId="6" fontId="30" fillId="0" borderId="24" xfId="58" applyFont="1" applyBorder="1" applyAlignment="1">
      <alignment horizontal="center" vertical="center"/>
    </xf>
    <xf numFmtId="6" fontId="30" fillId="0" borderId="12" xfId="58" applyFont="1" applyBorder="1" applyAlignment="1">
      <alignment horizontal="center" vertical="center"/>
    </xf>
    <xf numFmtId="6" fontId="30" fillId="0" borderId="42" xfId="58" applyFont="1" applyBorder="1" applyAlignment="1">
      <alignment horizontal="center" vertical="center"/>
    </xf>
    <xf numFmtId="215" fontId="24" fillId="0" borderId="47" xfId="61" applyNumberFormat="1" applyFont="1" applyBorder="1" applyAlignment="1">
      <alignment horizontal="right" vertical="center"/>
      <protection/>
    </xf>
    <xf numFmtId="222" fontId="24" fillId="0" borderId="51" xfId="61" applyNumberFormat="1" applyFont="1" applyBorder="1" applyAlignment="1" quotePrefix="1">
      <alignment horizontal="right" vertical="center" shrinkToFit="1"/>
      <protection/>
    </xf>
    <xf numFmtId="222" fontId="24" fillId="0" borderId="18" xfId="61" applyNumberFormat="1" applyFont="1" applyBorder="1" applyAlignment="1" quotePrefix="1">
      <alignment horizontal="right" vertical="center" shrinkToFit="1"/>
      <protection/>
    </xf>
    <xf numFmtId="222" fontId="24" fillId="0" borderId="37" xfId="61" applyNumberFormat="1" applyFont="1" applyBorder="1" applyAlignment="1" quotePrefix="1">
      <alignment horizontal="right" vertical="center" shrinkToFit="1"/>
      <protection/>
    </xf>
    <xf numFmtId="38" fontId="24" fillId="0" borderId="58" xfId="61" applyNumberFormat="1" applyFont="1" applyBorder="1" applyAlignment="1">
      <alignment vertical="center" shrinkToFit="1"/>
      <protection/>
    </xf>
    <xf numFmtId="38" fontId="24" fillId="0" borderId="20" xfId="61" applyNumberFormat="1" applyFont="1" applyBorder="1" applyAlignment="1">
      <alignment vertical="center" shrinkToFit="1"/>
      <protection/>
    </xf>
    <xf numFmtId="38" fontId="24" fillId="0" borderId="47" xfId="61" applyNumberFormat="1" applyFont="1" applyBorder="1" applyAlignment="1">
      <alignment vertical="center" shrinkToFit="1"/>
      <protection/>
    </xf>
    <xf numFmtId="215" fontId="24" fillId="0" borderId="24" xfId="61" applyNumberFormat="1" applyFont="1" applyBorder="1" applyAlignment="1">
      <alignment horizontal="right" vertical="center"/>
      <protection/>
    </xf>
    <xf numFmtId="0" fontId="24" fillId="0" borderId="42" xfId="61" applyFont="1" applyBorder="1" applyAlignment="1">
      <alignment horizontal="right" vertical="center"/>
      <protection/>
    </xf>
    <xf numFmtId="0" fontId="25" fillId="0" borderId="0" xfId="61" applyFont="1" applyAlignment="1">
      <alignment horizontal="center" vertical="center" shrinkToFit="1"/>
      <protection/>
    </xf>
    <xf numFmtId="38" fontId="32" fillId="0" borderId="56" xfId="49" applyFont="1" applyBorder="1" applyAlignment="1">
      <alignment vertical="center" shrinkToFit="1"/>
    </xf>
    <xf numFmtId="0" fontId="24" fillId="0" borderId="33" xfId="61" applyFont="1" applyBorder="1" applyAlignment="1">
      <alignment vertical="center" shrinkToFit="1"/>
      <protection/>
    </xf>
    <xf numFmtId="38" fontId="31" fillId="0" borderId="56" xfId="49" applyFont="1" applyBorder="1" applyAlignment="1">
      <alignment vertical="center" shrinkToFit="1"/>
    </xf>
    <xf numFmtId="0" fontId="29" fillId="0" borderId="33" xfId="61" applyFont="1" applyBorder="1" applyAlignment="1">
      <alignment vertical="center" shrinkToFit="1"/>
      <protection/>
    </xf>
    <xf numFmtId="38" fontId="24" fillId="0" borderId="51" xfId="49" applyFont="1" applyBorder="1" applyAlignment="1">
      <alignment vertical="center" shrinkToFit="1"/>
    </xf>
    <xf numFmtId="38" fontId="24" fillId="0" borderId="18" xfId="49" applyFont="1" applyBorder="1" applyAlignment="1">
      <alignment vertical="center" shrinkToFit="1"/>
    </xf>
    <xf numFmtId="38" fontId="24" fillId="0" borderId="37" xfId="49" applyFont="1" applyBorder="1" applyAlignment="1">
      <alignment vertical="center" shrinkToFit="1"/>
    </xf>
    <xf numFmtId="0" fontId="30" fillId="0" borderId="22" xfId="61" applyFont="1" applyBorder="1" applyAlignment="1">
      <alignment horizontal="center" vertical="center" shrinkToFit="1"/>
      <protection/>
    </xf>
    <xf numFmtId="0" fontId="30" fillId="0" borderId="29" xfId="61" applyFont="1" applyBorder="1" applyAlignment="1">
      <alignment horizontal="center" vertical="center" shrinkToFit="1"/>
      <protection/>
    </xf>
    <xf numFmtId="38" fontId="30" fillId="0" borderId="22" xfId="49" applyFont="1" applyBorder="1" applyAlignment="1">
      <alignment horizontal="center" vertical="center" shrinkToFit="1"/>
    </xf>
    <xf numFmtId="38" fontId="30" fillId="0" borderId="29" xfId="49" applyFont="1" applyBorder="1" applyAlignment="1">
      <alignment horizontal="center" vertical="center" shrinkToFit="1"/>
    </xf>
    <xf numFmtId="38" fontId="24" fillId="0" borderId="56" xfId="49" applyFont="1" applyFill="1" applyBorder="1" applyAlignment="1" quotePrefix="1">
      <alignment horizontal="center" vertical="center" shrinkToFit="1"/>
    </xf>
    <xf numFmtId="38" fontId="24" fillId="0" borderId="33" xfId="49" applyFont="1" applyFill="1" applyBorder="1" applyAlignment="1" quotePrefix="1">
      <alignment horizontal="center" vertical="center" shrinkToFit="1"/>
    </xf>
    <xf numFmtId="215" fontId="24" fillId="0" borderId="51" xfId="61" applyNumberFormat="1" applyFont="1" applyBorder="1" applyAlignment="1">
      <alignment horizontal="right" vertical="center"/>
      <protection/>
    </xf>
    <xf numFmtId="215" fontId="24" fillId="0" borderId="18" xfId="61" applyNumberFormat="1" applyFont="1" applyBorder="1" applyAlignment="1">
      <alignment horizontal="right" vertical="center"/>
      <protection/>
    </xf>
    <xf numFmtId="0" fontId="24" fillId="0" borderId="37" xfId="61" applyFont="1" applyBorder="1" applyAlignment="1">
      <alignment horizontal="right" vertical="center"/>
      <protection/>
    </xf>
    <xf numFmtId="0" fontId="34" fillId="0" borderId="25" xfId="0" applyFont="1" applyBorder="1" applyAlignment="1">
      <alignment horizontal="center" vertical="top" wrapText="1"/>
    </xf>
    <xf numFmtId="0" fontId="29" fillId="0" borderId="0" xfId="0" applyFont="1" applyAlignment="1">
      <alignment horizontal="center"/>
    </xf>
    <xf numFmtId="0" fontId="0" fillId="0" borderId="0" xfId="0" applyAlignment="1">
      <alignment/>
    </xf>
    <xf numFmtId="0" fontId="29" fillId="0" borderId="88" xfId="0" applyFont="1" applyBorder="1" applyAlignment="1">
      <alignment horizontal="center" vertical="top" wrapText="1"/>
    </xf>
    <xf numFmtId="38" fontId="38" fillId="33" borderId="0" xfId="49" applyFont="1" applyFill="1" applyBorder="1" applyAlignment="1">
      <alignment horizontal="center"/>
    </xf>
    <xf numFmtId="38" fontId="36" fillId="33" borderId="90" xfId="49" applyFont="1" applyFill="1" applyBorder="1" applyAlignment="1">
      <alignment horizontal="center" vertical="center"/>
    </xf>
    <xf numFmtId="38" fontId="36" fillId="33" borderId="91" xfId="49" applyFont="1" applyFill="1" applyBorder="1" applyAlignment="1">
      <alignment horizontal="center" vertical="center"/>
    </xf>
    <xf numFmtId="38" fontId="36" fillId="33" borderId="92" xfId="49" applyFont="1" applyFill="1" applyBorder="1" applyAlignment="1">
      <alignment horizontal="center" vertical="center"/>
    </xf>
    <xf numFmtId="38" fontId="36" fillId="33" borderId="93" xfId="49" applyFont="1" applyFill="1" applyBorder="1" applyAlignment="1">
      <alignment horizontal="center" vertical="center"/>
    </xf>
    <xf numFmtId="38" fontId="24" fillId="33" borderId="94" xfId="49" applyFont="1" applyFill="1" applyBorder="1" applyAlignment="1">
      <alignment horizontal="center" vertical="center"/>
    </xf>
    <xf numFmtId="38" fontId="24" fillId="33" borderId="15" xfId="49" applyFont="1" applyFill="1" applyBorder="1" applyAlignment="1">
      <alignment horizontal="center" vertical="center"/>
    </xf>
    <xf numFmtId="38" fontId="24" fillId="33" borderId="95" xfId="49" applyFont="1" applyFill="1" applyBorder="1" applyAlignment="1">
      <alignment horizontal="center" vertical="center"/>
    </xf>
    <xf numFmtId="38" fontId="24" fillId="33" borderId="18" xfId="49" applyFont="1" applyFill="1" applyBorder="1" applyAlignment="1">
      <alignment horizontal="center" vertical="center"/>
    </xf>
    <xf numFmtId="38" fontId="26" fillId="33" borderId="0" xfId="49" applyFont="1" applyFill="1" applyBorder="1" applyAlignment="1">
      <alignment horizontal="center"/>
    </xf>
    <xf numFmtId="38" fontId="29" fillId="33" borderId="96" xfId="49" applyFont="1" applyFill="1" applyBorder="1" applyAlignment="1">
      <alignment horizontal="center" vertical="center" textRotation="255"/>
    </xf>
    <xf numFmtId="38" fontId="29" fillId="33" borderId="97" xfId="49" applyFont="1" applyFill="1" applyBorder="1" applyAlignment="1">
      <alignment horizontal="center" vertical="center" textRotation="255"/>
    </xf>
    <xf numFmtId="38" fontId="29" fillId="33" borderId="98" xfId="49" applyFont="1" applyFill="1" applyBorder="1" applyAlignment="1">
      <alignment horizontal="center" vertical="center" textRotation="255"/>
    </xf>
    <xf numFmtId="38" fontId="29" fillId="33" borderId="23" xfId="49" applyFont="1" applyFill="1" applyBorder="1" applyAlignment="1">
      <alignment horizontal="center"/>
    </xf>
    <xf numFmtId="38" fontId="29" fillId="33" borderId="99" xfId="49" applyFont="1" applyFill="1" applyBorder="1" applyAlignment="1">
      <alignment horizontal="center" vertical="center" textRotation="255" shrinkToFit="1"/>
    </xf>
    <xf numFmtId="38" fontId="29" fillId="33" borderId="97" xfId="49" applyFont="1" applyFill="1" applyBorder="1" applyAlignment="1">
      <alignment horizontal="center" vertical="center" textRotation="255" shrinkToFit="1"/>
    </xf>
    <xf numFmtId="38" fontId="29" fillId="33" borderId="98" xfId="49" applyFont="1" applyFill="1" applyBorder="1" applyAlignment="1">
      <alignment horizontal="center" vertical="center" textRotation="255" shrinkToFit="1"/>
    </xf>
    <xf numFmtId="38" fontId="29" fillId="33" borderId="99" xfId="49" applyFont="1" applyFill="1" applyBorder="1" applyAlignment="1">
      <alignment horizontal="center" vertical="center" textRotation="255"/>
    </xf>
    <xf numFmtId="193" fontId="29" fillId="33" borderId="23" xfId="49" applyNumberFormat="1" applyFont="1" applyFill="1" applyBorder="1" applyAlignment="1">
      <alignment horizontal="right"/>
    </xf>
    <xf numFmtId="0" fontId="0" fillId="33" borderId="100" xfId="0" applyFont="1" applyFill="1" applyBorder="1" applyAlignment="1">
      <alignment horizontal="center" vertical="center"/>
    </xf>
    <xf numFmtId="0" fontId="0" fillId="33" borderId="101" xfId="0" applyFont="1" applyFill="1" applyBorder="1" applyAlignment="1">
      <alignment horizontal="center" vertical="center"/>
    </xf>
    <xf numFmtId="0" fontId="0" fillId="33" borderId="102" xfId="0" applyFont="1" applyFill="1" applyBorder="1" applyAlignment="1">
      <alignment horizontal="center" vertical="center"/>
    </xf>
    <xf numFmtId="0" fontId="41" fillId="33" borderId="0" xfId="0" applyFont="1" applyFill="1" applyBorder="1" applyAlignment="1">
      <alignment horizontal="center" vertical="center" wrapText="1"/>
    </xf>
    <xf numFmtId="0" fontId="0" fillId="0" borderId="20" xfId="0" applyFont="1" applyBorder="1" applyAlignment="1">
      <alignment horizontal="left" vertical="center" wrapText="1"/>
    </xf>
    <xf numFmtId="0" fontId="0" fillId="0" borderId="20" xfId="0" applyFont="1" applyBorder="1" applyAlignment="1">
      <alignment horizontal="left" vertical="center"/>
    </xf>
    <xf numFmtId="0" fontId="42" fillId="33" borderId="23" xfId="0" applyFont="1" applyFill="1" applyBorder="1" applyAlignment="1">
      <alignment horizontal="center" vertical="center"/>
    </xf>
    <xf numFmtId="0" fontId="42" fillId="33" borderId="23" xfId="0" applyFont="1" applyFill="1" applyBorder="1" applyAlignment="1">
      <alignment horizontal="center" vertical="center" wrapText="1"/>
    </xf>
    <xf numFmtId="0" fontId="42" fillId="0" borderId="23" xfId="0" applyFont="1" applyBorder="1" applyAlignment="1">
      <alignment horizontal="center" vertical="center" wrapText="1"/>
    </xf>
    <xf numFmtId="0" fontId="42" fillId="0" borderId="23"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6資料⑥：四半期報（相談・検査） (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69</xdr:row>
      <xdr:rowOff>47625</xdr:rowOff>
    </xdr:from>
    <xdr:to>
      <xdr:col>10</xdr:col>
      <xdr:colOff>9525</xdr:colOff>
      <xdr:row>72</xdr:row>
      <xdr:rowOff>47625</xdr:rowOff>
    </xdr:to>
    <xdr:sp>
      <xdr:nvSpPr>
        <xdr:cNvPr id="1" name="Text Box 1"/>
        <xdr:cNvSpPr txBox="1">
          <a:spLocks noChangeArrowheads="1"/>
        </xdr:cNvSpPr>
      </xdr:nvSpPr>
      <xdr:spPr>
        <a:xfrm>
          <a:off x="542925" y="12792075"/>
          <a:ext cx="4467225"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＊迅速</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迅速検査キットを使い即日に結果を返している自治体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夜間</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保健所閉所</a:t>
          </a:r>
          <a:r>
            <a:rPr lang="en-US" cap="none" sz="1100" b="0" i="0" u="none" baseline="0">
              <a:solidFill>
                <a:srgbClr val="000000"/>
              </a:solidFill>
              <a:latin typeface="ＭＳ 明朝"/>
              <a:ea typeface="ＭＳ 明朝"/>
              <a:cs typeface="ＭＳ 明朝"/>
            </a:rPr>
            <a:t>(17:00)</a:t>
          </a:r>
          <a:r>
            <a:rPr lang="en-US" cap="none" sz="1100" b="0" i="0" u="none" baseline="0">
              <a:solidFill>
                <a:srgbClr val="000000"/>
              </a:solidFill>
              <a:latin typeface="ＭＳ 明朝"/>
              <a:ea typeface="ＭＳ 明朝"/>
              <a:cs typeface="ＭＳ 明朝"/>
            </a:rPr>
            <a:t>以降に検査を実施している自治体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休日</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土日に検査を実施している自治体</a:t>
          </a:r>
        </a:p>
      </xdr:txBody>
    </xdr:sp>
    <xdr:clientData/>
  </xdr:twoCellAnchor>
  <xdr:twoCellAnchor>
    <xdr:from>
      <xdr:col>1</xdr:col>
      <xdr:colOff>19050</xdr:colOff>
      <xdr:row>66</xdr:row>
      <xdr:rowOff>104775</xdr:rowOff>
    </xdr:from>
    <xdr:to>
      <xdr:col>10</xdr:col>
      <xdr:colOff>0</xdr:colOff>
      <xdr:row>68</xdr:row>
      <xdr:rowOff>171450</xdr:rowOff>
    </xdr:to>
    <xdr:sp>
      <xdr:nvSpPr>
        <xdr:cNvPr id="2" name="Text Box 2"/>
        <xdr:cNvSpPr txBox="1">
          <a:spLocks noChangeArrowheads="1"/>
        </xdr:cNvSpPr>
      </xdr:nvSpPr>
      <xdr:spPr>
        <a:xfrm>
          <a:off x="542925" y="12306300"/>
          <a:ext cx="4457700" cy="4286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平常から実施している自治体（</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年度開始予定含む）</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検査普及週間</a:t>
          </a:r>
          <a:r>
            <a:rPr lang="en-US" cap="none" sz="1100" b="0" i="0" u="none" baseline="0">
              <a:solidFill>
                <a:srgbClr val="000000"/>
              </a:solidFill>
              <a:latin typeface="ＭＳ 明朝"/>
              <a:ea typeface="ＭＳ 明朝"/>
              <a:cs typeface="ＭＳ 明朝"/>
            </a:rPr>
            <a:t>(6/1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7)</a:t>
          </a:r>
          <a:r>
            <a:rPr lang="en-US" cap="none" sz="1100" b="0" i="0" u="none" baseline="0">
              <a:solidFill>
                <a:srgbClr val="000000"/>
              </a:solidFill>
              <a:latin typeface="ＭＳ 明朝"/>
              <a:ea typeface="ＭＳ 明朝"/>
              <a:cs typeface="ＭＳ 明朝"/>
            </a:rPr>
            <a:t>に実施を強化した自治体</a:t>
          </a:r>
        </a:p>
      </xdr:txBody>
    </xdr:sp>
    <xdr:clientData/>
  </xdr:twoCellAnchor>
  <xdr:twoCellAnchor>
    <xdr:from>
      <xdr:col>1</xdr:col>
      <xdr:colOff>19050</xdr:colOff>
      <xdr:row>73</xdr:row>
      <xdr:rowOff>38100</xdr:rowOff>
    </xdr:from>
    <xdr:to>
      <xdr:col>10</xdr:col>
      <xdr:colOff>9525</xdr:colOff>
      <xdr:row>77</xdr:row>
      <xdr:rowOff>85725</xdr:rowOff>
    </xdr:to>
    <xdr:sp>
      <xdr:nvSpPr>
        <xdr:cNvPr id="3" name="Text Box 3"/>
        <xdr:cNvSpPr txBox="1">
          <a:spLocks noChangeArrowheads="1"/>
        </xdr:cNvSpPr>
      </xdr:nvSpPr>
      <xdr:spPr>
        <a:xfrm>
          <a:off x="542925" y="13420725"/>
          <a:ext cx="4467225" cy="638175"/>
        </a:xfrm>
        <a:prstGeom prst="rect">
          <a:avLst/>
        </a:prstGeom>
        <a:solidFill>
          <a:srgbClr val="00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明朝"/>
              <a:ea typeface="ＭＳ 明朝"/>
              <a:cs typeface="ＭＳ 明朝"/>
            </a:rPr>
            <a:t>＊網掛け</a:t>
          </a:r>
          <a:r>
            <a:rPr lang="en-US" cap="none" sz="1200" b="1" i="0" u="none" baseline="0">
              <a:solidFill>
                <a:srgbClr val="000000"/>
              </a:solidFill>
              <a:latin typeface="ＭＳ 明朝"/>
              <a:ea typeface="ＭＳ 明朝"/>
              <a:cs typeface="ＭＳ 明朝"/>
            </a:rPr>
            <a:t>…</a:t>
          </a:r>
          <a:r>
            <a:rPr lang="en-US" cap="none" sz="1200" b="1" i="0" u="none" baseline="0">
              <a:solidFill>
                <a:srgbClr val="000000"/>
              </a:solidFill>
              <a:latin typeface="ＭＳ 明朝"/>
              <a:ea typeface="ＭＳ 明朝"/>
              <a:cs typeface="ＭＳ 明朝"/>
            </a:rPr>
            <a:t>平常期及び検査普及週間において、夜間検査・</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休日検査・迅速検査のいずれも実施していない</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自治体</a:t>
          </a:r>
          <a:r>
            <a:rPr lang="en-US" cap="none" sz="1200" b="1" i="0" u="none" baseline="0">
              <a:solidFill>
                <a:srgbClr val="000000"/>
              </a:solidFill>
              <a:latin typeface="ＭＳ 明朝"/>
              <a:ea typeface="ＭＳ 明朝"/>
              <a:cs typeface="ＭＳ 明朝"/>
            </a:rPr>
            <a:t>→</a:t>
          </a:r>
          <a:r>
            <a:rPr lang="en-US" cap="none" sz="1200" b="1" i="0" u="none" baseline="0">
              <a:solidFill>
                <a:srgbClr val="000000"/>
              </a:solidFill>
              <a:latin typeface="ＭＳ 明朝"/>
              <a:ea typeface="ＭＳ 明朝"/>
              <a:cs typeface="ＭＳ 明朝"/>
            </a:rPr>
            <a:t>１７自治体</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gi\Local%20Settings\Temporary%20Internet%20Files\Content.IE5\GVIZ6PMX\106&#36039;&#26009;&#9312;&#24863;&#26579;&#24773;&#22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
      <sheetName val="表2"/>
      <sheetName val="17年報＋第一四半期分"/>
      <sheetName val="表3年報反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9.00390625" defaultRowHeight="13.5"/>
  <cols>
    <col min="1" max="1" width="102.375" style="0" customWidth="1"/>
  </cols>
  <sheetData>
    <row r="1" ht="14.25">
      <c r="A1" s="314"/>
    </row>
    <row r="2" ht="14.25">
      <c r="A2" s="315">
        <v>38951</v>
      </c>
    </row>
    <row r="3" ht="14.25">
      <c r="A3" s="316" t="s">
        <v>262</v>
      </c>
    </row>
    <row r="4" ht="14.25">
      <c r="A4" s="314"/>
    </row>
    <row r="5" ht="14.25">
      <c r="A5" s="314" t="s">
        <v>263</v>
      </c>
    </row>
    <row r="6" ht="28.5">
      <c r="A6" s="314" t="s">
        <v>264</v>
      </c>
    </row>
    <row r="7" ht="14.25">
      <c r="A7" s="314" t="s">
        <v>265</v>
      </c>
    </row>
    <row r="8" ht="28.5">
      <c r="A8" s="314" t="s">
        <v>266</v>
      </c>
    </row>
    <row r="9" ht="14.25">
      <c r="A9" s="314"/>
    </row>
    <row r="10" ht="28.5">
      <c r="A10" s="314" t="s">
        <v>267</v>
      </c>
    </row>
    <row r="11" ht="28.5">
      <c r="A11" s="314" t="s">
        <v>268</v>
      </c>
    </row>
    <row r="12" ht="28.5">
      <c r="A12" s="314" t="s">
        <v>269</v>
      </c>
    </row>
    <row r="13" ht="28.5">
      <c r="A13" s="314" t="s">
        <v>270</v>
      </c>
    </row>
    <row r="14" ht="28.5">
      <c r="A14" s="314" t="s">
        <v>271</v>
      </c>
    </row>
    <row r="15" ht="14.25">
      <c r="A15" s="314"/>
    </row>
    <row r="16" ht="57">
      <c r="A16" s="314" t="s">
        <v>272</v>
      </c>
    </row>
    <row r="17" ht="14.25">
      <c r="A17" s="314"/>
    </row>
    <row r="18" ht="28.5">
      <c r="A18" s="314" t="s">
        <v>273</v>
      </c>
    </row>
    <row r="19" ht="14.25">
      <c r="A19" s="314" t="s">
        <v>274</v>
      </c>
    </row>
    <row r="20" ht="14.25">
      <c r="A20" s="314"/>
    </row>
    <row r="21" ht="99.75">
      <c r="A21" s="314" t="s">
        <v>275</v>
      </c>
    </row>
    <row r="22" ht="71.25">
      <c r="A22" s="314" t="s">
        <v>276</v>
      </c>
    </row>
  </sheetData>
  <sheetProtection/>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B1:T108"/>
  <sheetViews>
    <sheetView zoomScalePageLayoutView="0" workbookViewId="0" topLeftCell="A1">
      <pane ySplit="4" topLeftCell="A59" activePane="bottomLeft" state="frozen"/>
      <selection pane="topLeft" activeCell="F24" sqref="F24"/>
      <selection pane="bottomLeft" activeCell="A85" sqref="A85"/>
    </sheetView>
  </sheetViews>
  <sheetFormatPr defaultColWidth="9.00390625" defaultRowHeight="13.5"/>
  <cols>
    <col min="1" max="1" width="6.875" style="319" customWidth="1"/>
    <col min="2" max="2" width="2.875" style="319" bestFit="1" customWidth="1"/>
    <col min="3" max="3" width="4.50390625" style="319" bestFit="1" customWidth="1"/>
    <col min="4" max="4" width="11.625" style="319" bestFit="1" customWidth="1"/>
    <col min="5" max="10" width="6.625" style="319" customWidth="1"/>
    <col min="11" max="11" width="3.00390625" style="319" customWidth="1"/>
    <col min="12" max="12" width="2.875" style="319" bestFit="1" customWidth="1"/>
    <col min="13" max="13" width="5.50390625" style="387" bestFit="1" customWidth="1"/>
    <col min="14" max="14" width="9.875" style="319" customWidth="1"/>
    <col min="15" max="20" width="6.625" style="319" customWidth="1"/>
    <col min="21" max="16384" width="9.00390625" style="319" customWidth="1"/>
  </cols>
  <sheetData>
    <row r="1" spans="2:20" ht="24">
      <c r="B1" s="461" t="s">
        <v>279</v>
      </c>
      <c r="C1" s="461"/>
      <c r="D1" s="461"/>
      <c r="E1" s="461"/>
      <c r="F1" s="461"/>
      <c r="G1" s="461"/>
      <c r="H1" s="461"/>
      <c r="I1" s="461"/>
      <c r="J1" s="461"/>
      <c r="K1" s="461"/>
      <c r="L1" s="461"/>
      <c r="M1" s="461"/>
      <c r="N1" s="461"/>
      <c r="O1" s="461"/>
      <c r="P1" s="461"/>
      <c r="Q1" s="461"/>
      <c r="R1" s="461"/>
      <c r="S1" s="461"/>
      <c r="T1" s="461"/>
    </row>
    <row r="2" spans="3:20" ht="18.75" customHeight="1" thickBot="1">
      <c r="C2" s="320"/>
      <c r="D2" s="320"/>
      <c r="E2" s="320"/>
      <c r="F2" s="320"/>
      <c r="G2" s="320"/>
      <c r="H2" s="320"/>
      <c r="I2" s="320"/>
      <c r="J2" s="320"/>
      <c r="K2" s="320"/>
      <c r="L2" s="320"/>
      <c r="M2" s="320"/>
      <c r="N2" s="320"/>
      <c r="O2" s="320"/>
      <c r="P2" s="320"/>
      <c r="Q2" s="320"/>
      <c r="R2" s="320"/>
      <c r="S2" s="470"/>
      <c r="T2" s="320"/>
    </row>
    <row r="3" spans="2:20" s="321" customFormat="1" ht="15.75" customHeight="1">
      <c r="B3" s="466"/>
      <c r="C3" s="467"/>
      <c r="D3" s="467"/>
      <c r="E3" s="462" t="s">
        <v>280</v>
      </c>
      <c r="F3" s="463"/>
      <c r="G3" s="462" t="s">
        <v>281</v>
      </c>
      <c r="H3" s="463"/>
      <c r="I3" s="462" t="s">
        <v>282</v>
      </c>
      <c r="J3" s="463"/>
      <c r="K3" s="322"/>
      <c r="L3" s="466"/>
      <c r="M3" s="467"/>
      <c r="N3" s="467"/>
      <c r="O3" s="462" t="s">
        <v>280</v>
      </c>
      <c r="P3" s="463"/>
      <c r="Q3" s="464" t="s">
        <v>281</v>
      </c>
      <c r="R3" s="465"/>
      <c r="S3" s="462" t="s">
        <v>282</v>
      </c>
      <c r="T3" s="463"/>
    </row>
    <row r="4" spans="2:20" s="323" customFormat="1" ht="15.75" customHeight="1">
      <c r="B4" s="468"/>
      <c r="C4" s="469"/>
      <c r="D4" s="469"/>
      <c r="E4" s="324" t="s">
        <v>283</v>
      </c>
      <c r="F4" s="325" t="s">
        <v>284</v>
      </c>
      <c r="G4" s="324" t="s">
        <v>283</v>
      </c>
      <c r="H4" s="325" t="s">
        <v>284</v>
      </c>
      <c r="I4" s="324" t="s">
        <v>283</v>
      </c>
      <c r="J4" s="325" t="s">
        <v>284</v>
      </c>
      <c r="K4" s="322"/>
      <c r="L4" s="468"/>
      <c r="M4" s="469"/>
      <c r="N4" s="469"/>
      <c r="O4" s="324" t="s">
        <v>283</v>
      </c>
      <c r="P4" s="325" t="s">
        <v>284</v>
      </c>
      <c r="Q4" s="326" t="s">
        <v>283</v>
      </c>
      <c r="R4" s="327" t="s">
        <v>284</v>
      </c>
      <c r="S4" s="324" t="s">
        <v>283</v>
      </c>
      <c r="T4" s="325" t="s">
        <v>284</v>
      </c>
    </row>
    <row r="5" spans="2:20" ht="14.25" customHeight="1">
      <c r="B5" s="471" t="s">
        <v>285</v>
      </c>
      <c r="C5" s="328">
        <v>1</v>
      </c>
      <c r="D5" s="329" t="s">
        <v>87</v>
      </c>
      <c r="E5" s="330"/>
      <c r="F5" s="331" t="s">
        <v>286</v>
      </c>
      <c r="G5" s="330"/>
      <c r="H5" s="332"/>
      <c r="I5" s="333" t="s">
        <v>287</v>
      </c>
      <c r="J5" s="332"/>
      <c r="K5" s="334"/>
      <c r="L5" s="471" t="s">
        <v>288</v>
      </c>
      <c r="M5" s="328">
        <v>63</v>
      </c>
      <c r="N5" s="329" t="s">
        <v>289</v>
      </c>
      <c r="O5" s="333" t="s">
        <v>287</v>
      </c>
      <c r="P5" s="332"/>
      <c r="Q5" s="335"/>
      <c r="R5" s="336"/>
      <c r="S5" s="333" t="s">
        <v>287</v>
      </c>
      <c r="T5" s="332"/>
    </row>
    <row r="6" spans="2:20" ht="14.25">
      <c r="B6" s="472"/>
      <c r="C6" s="328">
        <v>2</v>
      </c>
      <c r="D6" s="329" t="s">
        <v>290</v>
      </c>
      <c r="E6" s="330"/>
      <c r="F6" s="332"/>
      <c r="G6" s="330"/>
      <c r="H6" s="332"/>
      <c r="I6" s="333" t="s">
        <v>287</v>
      </c>
      <c r="J6" s="332"/>
      <c r="K6" s="334"/>
      <c r="L6" s="472"/>
      <c r="M6" s="328">
        <v>64</v>
      </c>
      <c r="N6" s="337" t="s">
        <v>291</v>
      </c>
      <c r="O6" s="338"/>
      <c r="P6" s="331"/>
      <c r="Q6" s="339"/>
      <c r="R6" s="340"/>
      <c r="S6" s="338" t="s">
        <v>422</v>
      </c>
      <c r="T6" s="331"/>
    </row>
    <row r="7" spans="2:20" ht="14.25">
      <c r="B7" s="472"/>
      <c r="C7" s="341">
        <v>3</v>
      </c>
      <c r="D7" s="337" t="s">
        <v>293</v>
      </c>
      <c r="E7" s="333" t="s">
        <v>287</v>
      </c>
      <c r="F7" s="331"/>
      <c r="G7" s="333" t="s">
        <v>287</v>
      </c>
      <c r="H7" s="331"/>
      <c r="I7" s="333" t="s">
        <v>287</v>
      </c>
      <c r="J7" s="331"/>
      <c r="K7" s="334"/>
      <c r="L7" s="472"/>
      <c r="M7" s="341">
        <v>65</v>
      </c>
      <c r="N7" s="337" t="s">
        <v>294</v>
      </c>
      <c r="O7" s="333" t="s">
        <v>287</v>
      </c>
      <c r="P7" s="331"/>
      <c r="Q7" s="342"/>
      <c r="R7" s="340" t="s">
        <v>286</v>
      </c>
      <c r="S7" s="333" t="s">
        <v>287</v>
      </c>
      <c r="T7" s="331" t="s">
        <v>286</v>
      </c>
    </row>
    <row r="8" spans="2:20" ht="14.25">
      <c r="B8" s="472"/>
      <c r="C8" s="341">
        <v>4</v>
      </c>
      <c r="D8" s="337" t="s">
        <v>295</v>
      </c>
      <c r="E8" s="333"/>
      <c r="F8" s="331" t="s">
        <v>286</v>
      </c>
      <c r="G8" s="338"/>
      <c r="H8" s="331"/>
      <c r="I8" s="333"/>
      <c r="J8" s="331" t="s">
        <v>286</v>
      </c>
      <c r="K8" s="334"/>
      <c r="L8" s="472"/>
      <c r="M8" s="341">
        <v>66</v>
      </c>
      <c r="N8" s="337" t="s">
        <v>296</v>
      </c>
      <c r="O8" s="333" t="s">
        <v>287</v>
      </c>
      <c r="P8" s="331"/>
      <c r="Q8" s="342" t="s">
        <v>287</v>
      </c>
      <c r="R8" s="340"/>
      <c r="S8" s="333" t="s">
        <v>287</v>
      </c>
      <c r="T8" s="331"/>
    </row>
    <row r="9" spans="2:20" ht="14.25">
      <c r="B9" s="472"/>
      <c r="C9" s="341">
        <v>5</v>
      </c>
      <c r="D9" s="337" t="s">
        <v>297</v>
      </c>
      <c r="E9" s="333" t="s">
        <v>287</v>
      </c>
      <c r="F9" s="331" t="s">
        <v>286</v>
      </c>
      <c r="G9" s="338"/>
      <c r="H9" s="331"/>
      <c r="I9" s="333" t="s">
        <v>287</v>
      </c>
      <c r="J9" s="331" t="s">
        <v>286</v>
      </c>
      <c r="K9" s="334"/>
      <c r="L9" s="472"/>
      <c r="M9" s="341">
        <v>67</v>
      </c>
      <c r="N9" s="337" t="s">
        <v>298</v>
      </c>
      <c r="O9" s="333" t="s">
        <v>287</v>
      </c>
      <c r="P9" s="331"/>
      <c r="Q9" s="339"/>
      <c r="R9" s="340"/>
      <c r="S9" s="333" t="s">
        <v>287</v>
      </c>
      <c r="T9" s="331"/>
    </row>
    <row r="10" spans="2:20" ht="14.25">
      <c r="B10" s="472"/>
      <c r="C10" s="341">
        <v>6</v>
      </c>
      <c r="D10" s="337" t="s">
        <v>299</v>
      </c>
      <c r="E10" s="333"/>
      <c r="F10" s="331" t="s">
        <v>286</v>
      </c>
      <c r="G10" s="333"/>
      <c r="H10" s="331" t="s">
        <v>286</v>
      </c>
      <c r="I10" s="333" t="s">
        <v>287</v>
      </c>
      <c r="J10" s="331" t="s">
        <v>286</v>
      </c>
      <c r="K10" s="334"/>
      <c r="L10" s="472"/>
      <c r="M10" s="341">
        <v>68</v>
      </c>
      <c r="N10" s="337" t="s">
        <v>300</v>
      </c>
      <c r="O10" s="333"/>
      <c r="P10" s="331" t="s">
        <v>286</v>
      </c>
      <c r="Q10" s="342" t="s">
        <v>287</v>
      </c>
      <c r="R10" s="340"/>
      <c r="S10" s="333" t="s">
        <v>287</v>
      </c>
      <c r="T10" s="331"/>
    </row>
    <row r="11" spans="2:20" ht="14.25">
      <c r="B11" s="472"/>
      <c r="C11" s="341">
        <v>7</v>
      </c>
      <c r="D11" s="337" t="s">
        <v>301</v>
      </c>
      <c r="E11" s="333" t="s">
        <v>287</v>
      </c>
      <c r="F11" s="331"/>
      <c r="G11" s="338"/>
      <c r="H11" s="331"/>
      <c r="I11" s="333" t="s">
        <v>287</v>
      </c>
      <c r="J11" s="331"/>
      <c r="K11" s="334"/>
      <c r="L11" s="472"/>
      <c r="M11" s="341">
        <v>69</v>
      </c>
      <c r="N11" s="337" t="s">
        <v>302</v>
      </c>
      <c r="O11" s="333" t="s">
        <v>287</v>
      </c>
      <c r="P11" s="331"/>
      <c r="Q11" s="342"/>
      <c r="R11" s="340"/>
      <c r="S11" s="333" t="s">
        <v>287</v>
      </c>
      <c r="T11" s="331"/>
    </row>
    <row r="12" spans="2:20" ht="14.25">
      <c r="B12" s="472"/>
      <c r="C12" s="341">
        <v>8</v>
      </c>
      <c r="D12" s="337" t="s">
        <v>303</v>
      </c>
      <c r="E12" s="333" t="s">
        <v>287</v>
      </c>
      <c r="F12" s="331"/>
      <c r="G12" s="333"/>
      <c r="H12" s="331"/>
      <c r="I12" s="333" t="s">
        <v>287</v>
      </c>
      <c r="J12" s="331"/>
      <c r="K12" s="334"/>
      <c r="L12" s="472"/>
      <c r="M12" s="341">
        <v>70</v>
      </c>
      <c r="N12" s="337" t="s">
        <v>304</v>
      </c>
      <c r="O12" s="333" t="s">
        <v>287</v>
      </c>
      <c r="P12" s="331"/>
      <c r="Q12" s="342" t="s">
        <v>287</v>
      </c>
      <c r="R12" s="340"/>
      <c r="S12" s="343"/>
      <c r="T12" s="331"/>
    </row>
    <row r="13" spans="2:20" ht="14.25">
      <c r="B13" s="472"/>
      <c r="C13" s="341">
        <v>9</v>
      </c>
      <c r="D13" s="337" t="s">
        <v>305</v>
      </c>
      <c r="E13" s="333" t="s">
        <v>287</v>
      </c>
      <c r="F13" s="331"/>
      <c r="G13" s="333" t="s">
        <v>287</v>
      </c>
      <c r="H13" s="331"/>
      <c r="I13" s="333" t="s">
        <v>287</v>
      </c>
      <c r="J13" s="331"/>
      <c r="K13" s="334"/>
      <c r="L13" s="472"/>
      <c r="M13" s="341">
        <v>71</v>
      </c>
      <c r="N13" s="337" t="s">
        <v>306</v>
      </c>
      <c r="O13" s="333" t="s">
        <v>287</v>
      </c>
      <c r="P13" s="331"/>
      <c r="Q13" s="339"/>
      <c r="R13" s="340"/>
      <c r="S13" s="343"/>
      <c r="T13" s="331"/>
    </row>
    <row r="14" spans="2:20" ht="14.25">
      <c r="B14" s="472"/>
      <c r="C14" s="341">
        <v>10</v>
      </c>
      <c r="D14" s="337" t="s">
        <v>307</v>
      </c>
      <c r="E14" s="333" t="s">
        <v>287</v>
      </c>
      <c r="F14" s="331" t="s">
        <v>286</v>
      </c>
      <c r="G14" s="333"/>
      <c r="H14" s="331" t="s">
        <v>286</v>
      </c>
      <c r="I14" s="333" t="s">
        <v>287</v>
      </c>
      <c r="J14" s="331" t="s">
        <v>286</v>
      </c>
      <c r="K14" s="334"/>
      <c r="L14" s="472"/>
      <c r="M14" s="341">
        <v>72</v>
      </c>
      <c r="N14" s="337" t="s">
        <v>308</v>
      </c>
      <c r="O14" s="338"/>
      <c r="P14" s="331"/>
      <c r="Q14" s="342" t="s">
        <v>287</v>
      </c>
      <c r="R14" s="340"/>
      <c r="S14" s="343"/>
      <c r="T14" s="331"/>
    </row>
    <row r="15" spans="2:20" ht="14.25">
      <c r="B15" s="472"/>
      <c r="C15" s="341">
        <v>11</v>
      </c>
      <c r="D15" s="337" t="s">
        <v>309</v>
      </c>
      <c r="E15" s="333" t="s">
        <v>287</v>
      </c>
      <c r="F15" s="331"/>
      <c r="G15" s="333" t="s">
        <v>287</v>
      </c>
      <c r="H15" s="331"/>
      <c r="I15" s="333" t="s">
        <v>287</v>
      </c>
      <c r="J15" s="331"/>
      <c r="K15" s="334"/>
      <c r="L15" s="472"/>
      <c r="M15" s="341">
        <v>73</v>
      </c>
      <c r="N15" s="337" t="s">
        <v>310</v>
      </c>
      <c r="O15" s="338"/>
      <c r="P15" s="331"/>
      <c r="Q15" s="342" t="s">
        <v>287</v>
      </c>
      <c r="R15" s="340"/>
      <c r="S15" s="333" t="s">
        <v>287</v>
      </c>
      <c r="T15" s="331"/>
    </row>
    <row r="16" spans="2:20" ht="14.25">
      <c r="B16" s="472"/>
      <c r="C16" s="341">
        <v>12</v>
      </c>
      <c r="D16" s="337" t="s">
        <v>311</v>
      </c>
      <c r="E16" s="333" t="s">
        <v>287</v>
      </c>
      <c r="F16" s="331"/>
      <c r="G16" s="338"/>
      <c r="H16" s="331"/>
      <c r="I16" s="333" t="s">
        <v>287</v>
      </c>
      <c r="J16" s="331"/>
      <c r="K16" s="334"/>
      <c r="L16" s="472"/>
      <c r="M16" s="341">
        <v>74</v>
      </c>
      <c r="N16" s="337" t="s">
        <v>312</v>
      </c>
      <c r="O16" s="338"/>
      <c r="P16" s="331" t="s">
        <v>423</v>
      </c>
      <c r="Q16" s="339"/>
      <c r="R16" s="340" t="s">
        <v>423</v>
      </c>
      <c r="S16" s="343" t="s">
        <v>422</v>
      </c>
      <c r="T16" s="331"/>
    </row>
    <row r="17" spans="2:20" ht="14.25">
      <c r="B17" s="472"/>
      <c r="C17" s="341">
        <v>13</v>
      </c>
      <c r="D17" s="337" t="s">
        <v>313</v>
      </c>
      <c r="E17" s="333" t="s">
        <v>287</v>
      </c>
      <c r="F17" s="331"/>
      <c r="G17" s="333" t="s">
        <v>287</v>
      </c>
      <c r="H17" s="331"/>
      <c r="I17" s="333" t="s">
        <v>287</v>
      </c>
      <c r="J17" s="331"/>
      <c r="K17" s="334"/>
      <c r="L17" s="472"/>
      <c r="M17" s="341">
        <v>75</v>
      </c>
      <c r="N17" s="337" t="s">
        <v>314</v>
      </c>
      <c r="O17" s="333" t="s">
        <v>287</v>
      </c>
      <c r="P17" s="331" t="s">
        <v>423</v>
      </c>
      <c r="Q17" s="342" t="s">
        <v>287</v>
      </c>
      <c r="R17" s="340" t="s">
        <v>423</v>
      </c>
      <c r="S17" s="343"/>
      <c r="T17" s="331"/>
    </row>
    <row r="18" spans="2:20" ht="14.25">
      <c r="B18" s="472"/>
      <c r="C18" s="341">
        <v>14</v>
      </c>
      <c r="D18" s="337" t="s">
        <v>315</v>
      </c>
      <c r="E18" s="333" t="s">
        <v>287</v>
      </c>
      <c r="F18" s="331"/>
      <c r="G18" s="333" t="s">
        <v>287</v>
      </c>
      <c r="H18" s="331"/>
      <c r="I18" s="333" t="s">
        <v>287</v>
      </c>
      <c r="J18" s="331"/>
      <c r="K18" s="334"/>
      <c r="L18" s="472"/>
      <c r="M18" s="341">
        <v>76</v>
      </c>
      <c r="N18" s="337" t="s">
        <v>316</v>
      </c>
      <c r="O18" s="333" t="s">
        <v>287</v>
      </c>
      <c r="P18" s="331"/>
      <c r="Q18" s="342" t="s">
        <v>287</v>
      </c>
      <c r="R18" s="340" t="s">
        <v>286</v>
      </c>
      <c r="S18" s="333" t="s">
        <v>287</v>
      </c>
      <c r="T18" s="331"/>
    </row>
    <row r="19" spans="2:20" ht="14.25">
      <c r="B19" s="472"/>
      <c r="C19" s="341">
        <v>15</v>
      </c>
      <c r="D19" s="337" t="s">
        <v>317</v>
      </c>
      <c r="E19" s="333" t="s">
        <v>287</v>
      </c>
      <c r="F19" s="331"/>
      <c r="G19" s="333" t="s">
        <v>287</v>
      </c>
      <c r="H19" s="331"/>
      <c r="I19" s="343"/>
      <c r="J19" s="331"/>
      <c r="K19" s="334"/>
      <c r="L19" s="472"/>
      <c r="M19" s="341">
        <v>77</v>
      </c>
      <c r="N19" s="337" t="s">
        <v>318</v>
      </c>
      <c r="O19" s="338"/>
      <c r="P19" s="331"/>
      <c r="Q19" s="339"/>
      <c r="R19" s="340"/>
      <c r="S19" s="333" t="s">
        <v>287</v>
      </c>
      <c r="T19" s="331"/>
    </row>
    <row r="20" spans="2:20" ht="14.25">
      <c r="B20" s="472"/>
      <c r="C20" s="341">
        <v>16</v>
      </c>
      <c r="D20" s="337" t="s">
        <v>319</v>
      </c>
      <c r="E20" s="333"/>
      <c r="F20" s="331" t="s">
        <v>286</v>
      </c>
      <c r="G20" s="338"/>
      <c r="H20" s="331"/>
      <c r="I20" s="333" t="s">
        <v>287</v>
      </c>
      <c r="J20" s="331"/>
      <c r="K20" s="334"/>
      <c r="L20" s="472"/>
      <c r="M20" s="341">
        <v>78</v>
      </c>
      <c r="N20" s="337" t="s">
        <v>320</v>
      </c>
      <c r="O20" s="333" t="s">
        <v>287</v>
      </c>
      <c r="P20" s="331"/>
      <c r="Q20" s="342" t="s">
        <v>287</v>
      </c>
      <c r="R20" s="340"/>
      <c r="S20" s="343"/>
      <c r="T20" s="331"/>
    </row>
    <row r="21" spans="2:20" ht="14.25">
      <c r="B21" s="472"/>
      <c r="C21" s="341">
        <v>17</v>
      </c>
      <c r="D21" s="337" t="s">
        <v>321</v>
      </c>
      <c r="E21" s="333" t="s">
        <v>287</v>
      </c>
      <c r="F21" s="331"/>
      <c r="G21" s="333" t="s">
        <v>287</v>
      </c>
      <c r="H21" s="331"/>
      <c r="I21" s="333" t="s">
        <v>287</v>
      </c>
      <c r="J21" s="331"/>
      <c r="K21" s="334"/>
      <c r="L21" s="472"/>
      <c r="M21" s="341">
        <v>79</v>
      </c>
      <c r="N21" s="337" t="s">
        <v>322</v>
      </c>
      <c r="O21" s="333" t="s">
        <v>287</v>
      </c>
      <c r="P21" s="331"/>
      <c r="Q21" s="342" t="s">
        <v>287</v>
      </c>
      <c r="R21" s="331" t="s">
        <v>286</v>
      </c>
      <c r="S21" s="333" t="s">
        <v>287</v>
      </c>
      <c r="T21" s="331"/>
    </row>
    <row r="22" spans="2:20" ht="14.25">
      <c r="B22" s="472"/>
      <c r="C22" s="341">
        <v>18</v>
      </c>
      <c r="D22" s="337" t="s">
        <v>323</v>
      </c>
      <c r="E22" s="333" t="s">
        <v>287</v>
      </c>
      <c r="F22" s="331" t="s">
        <v>286</v>
      </c>
      <c r="G22" s="333"/>
      <c r="H22" s="331" t="s">
        <v>286</v>
      </c>
      <c r="I22" s="343"/>
      <c r="J22" s="331"/>
      <c r="K22" s="334"/>
      <c r="L22" s="472"/>
      <c r="M22" s="341">
        <v>80</v>
      </c>
      <c r="N22" s="337" t="s">
        <v>324</v>
      </c>
      <c r="O22" s="338" t="s">
        <v>422</v>
      </c>
      <c r="P22" s="331"/>
      <c r="Q22" s="339"/>
      <c r="R22" s="331" t="s">
        <v>286</v>
      </c>
      <c r="S22" s="338" t="s">
        <v>422</v>
      </c>
      <c r="T22" s="331" t="s">
        <v>286</v>
      </c>
    </row>
    <row r="23" spans="2:20" ht="14.25">
      <c r="B23" s="472"/>
      <c r="C23" s="341">
        <v>19</v>
      </c>
      <c r="D23" s="337" t="s">
        <v>325</v>
      </c>
      <c r="E23" s="333" t="s">
        <v>287</v>
      </c>
      <c r="F23" s="331" t="s">
        <v>286</v>
      </c>
      <c r="G23" s="338"/>
      <c r="H23" s="331"/>
      <c r="I23" s="333" t="s">
        <v>287</v>
      </c>
      <c r="J23" s="331" t="s">
        <v>286</v>
      </c>
      <c r="K23" s="334"/>
      <c r="L23" s="472"/>
      <c r="M23" s="341">
        <v>81</v>
      </c>
      <c r="N23" s="337" t="s">
        <v>326</v>
      </c>
      <c r="O23" s="333" t="s">
        <v>287</v>
      </c>
      <c r="P23" s="331"/>
      <c r="Q23" s="342" t="s">
        <v>287</v>
      </c>
      <c r="R23" s="340"/>
      <c r="S23" s="333" t="s">
        <v>287</v>
      </c>
      <c r="T23" s="331"/>
    </row>
    <row r="24" spans="2:20" ht="14.25">
      <c r="B24" s="472"/>
      <c r="C24" s="341">
        <v>20</v>
      </c>
      <c r="D24" s="337" t="s">
        <v>327</v>
      </c>
      <c r="E24" s="333" t="s">
        <v>287</v>
      </c>
      <c r="F24" s="331" t="s">
        <v>286</v>
      </c>
      <c r="G24" s="333"/>
      <c r="H24" s="331" t="s">
        <v>286</v>
      </c>
      <c r="I24" s="333" t="s">
        <v>287</v>
      </c>
      <c r="J24" s="331" t="s">
        <v>286</v>
      </c>
      <c r="K24" s="334"/>
      <c r="L24" s="472"/>
      <c r="M24" s="341">
        <v>82</v>
      </c>
      <c r="N24" s="337" t="s">
        <v>328</v>
      </c>
      <c r="O24" s="333"/>
      <c r="P24" s="331" t="s">
        <v>286</v>
      </c>
      <c r="Q24" s="339"/>
      <c r="R24" s="340"/>
      <c r="S24" s="343"/>
      <c r="T24" s="331"/>
    </row>
    <row r="25" spans="2:20" ht="14.25">
      <c r="B25" s="472"/>
      <c r="C25" s="341">
        <v>21</v>
      </c>
      <c r="D25" s="337" t="s">
        <v>329</v>
      </c>
      <c r="E25" s="338"/>
      <c r="F25" s="331"/>
      <c r="G25" s="333"/>
      <c r="H25" s="331"/>
      <c r="I25" s="333" t="s">
        <v>287</v>
      </c>
      <c r="J25" s="331"/>
      <c r="K25" s="334"/>
      <c r="L25" s="472"/>
      <c r="M25" s="344">
        <v>83</v>
      </c>
      <c r="N25" s="345" t="s">
        <v>330</v>
      </c>
      <c r="O25" s="346"/>
      <c r="P25" s="347"/>
      <c r="Q25" s="348"/>
      <c r="R25" s="349"/>
      <c r="S25" s="350"/>
      <c r="T25" s="347"/>
    </row>
    <row r="26" spans="2:20" ht="14.25">
      <c r="B26" s="472"/>
      <c r="C26" s="341">
        <v>22</v>
      </c>
      <c r="D26" s="337" t="s">
        <v>331</v>
      </c>
      <c r="E26" s="333" t="s">
        <v>287</v>
      </c>
      <c r="F26" s="331" t="s">
        <v>286</v>
      </c>
      <c r="G26" s="338"/>
      <c r="H26" s="331"/>
      <c r="I26" s="333" t="s">
        <v>287</v>
      </c>
      <c r="J26" s="331" t="s">
        <v>286</v>
      </c>
      <c r="K26" s="334"/>
      <c r="L26" s="472"/>
      <c r="M26" s="341">
        <v>84</v>
      </c>
      <c r="N26" s="337" t="s">
        <v>332</v>
      </c>
      <c r="O26" s="333" t="s">
        <v>287</v>
      </c>
      <c r="P26" s="331"/>
      <c r="Q26" s="342" t="s">
        <v>287</v>
      </c>
      <c r="R26" s="340"/>
      <c r="S26" s="333" t="s">
        <v>287</v>
      </c>
      <c r="T26" s="331"/>
    </row>
    <row r="27" spans="2:20" ht="14.25">
      <c r="B27" s="472"/>
      <c r="C27" s="341">
        <v>23</v>
      </c>
      <c r="D27" s="337" t="s">
        <v>333</v>
      </c>
      <c r="E27" s="333" t="s">
        <v>287</v>
      </c>
      <c r="F27" s="331"/>
      <c r="G27" s="333" t="s">
        <v>287</v>
      </c>
      <c r="H27" s="331"/>
      <c r="I27" s="333" t="s">
        <v>287</v>
      </c>
      <c r="J27" s="331"/>
      <c r="K27" s="334"/>
      <c r="L27" s="472"/>
      <c r="M27" s="341">
        <v>85</v>
      </c>
      <c r="N27" s="337" t="s">
        <v>334</v>
      </c>
      <c r="O27" s="338"/>
      <c r="P27" s="331"/>
      <c r="Q27" s="342"/>
      <c r="R27" s="340" t="s">
        <v>286</v>
      </c>
      <c r="S27" s="333"/>
      <c r="T27" s="331" t="s">
        <v>286</v>
      </c>
    </row>
    <row r="28" spans="2:20" ht="14.25">
      <c r="B28" s="472"/>
      <c r="C28" s="341">
        <v>24</v>
      </c>
      <c r="D28" s="337" t="s">
        <v>335</v>
      </c>
      <c r="E28" s="333" t="s">
        <v>287</v>
      </c>
      <c r="F28" s="331" t="s">
        <v>286</v>
      </c>
      <c r="G28" s="338"/>
      <c r="H28" s="331"/>
      <c r="I28" s="343"/>
      <c r="J28" s="331"/>
      <c r="K28" s="334"/>
      <c r="L28" s="472"/>
      <c r="M28" s="341">
        <v>86</v>
      </c>
      <c r="N28" s="337" t="s">
        <v>336</v>
      </c>
      <c r="O28" s="333" t="s">
        <v>287</v>
      </c>
      <c r="P28" s="331"/>
      <c r="Q28" s="342"/>
      <c r="R28" s="340" t="s">
        <v>286</v>
      </c>
      <c r="S28" s="333"/>
      <c r="T28" s="331" t="s">
        <v>286</v>
      </c>
    </row>
    <row r="29" spans="2:20" ht="14.25">
      <c r="B29" s="472"/>
      <c r="C29" s="341">
        <v>25</v>
      </c>
      <c r="D29" s="337" t="s">
        <v>337</v>
      </c>
      <c r="E29" s="333" t="s">
        <v>287</v>
      </c>
      <c r="F29" s="331"/>
      <c r="G29" s="338"/>
      <c r="H29" s="331"/>
      <c r="I29" s="333" t="s">
        <v>287</v>
      </c>
      <c r="J29" s="331"/>
      <c r="K29" s="334"/>
      <c r="L29" s="472"/>
      <c r="M29" s="341">
        <v>87</v>
      </c>
      <c r="N29" s="337" t="s">
        <v>338</v>
      </c>
      <c r="O29" s="338" t="s">
        <v>422</v>
      </c>
      <c r="P29" s="331" t="s">
        <v>423</v>
      </c>
      <c r="Q29" s="339"/>
      <c r="R29" s="340"/>
      <c r="S29" s="343"/>
      <c r="T29" s="331"/>
    </row>
    <row r="30" spans="2:20" ht="14.25">
      <c r="B30" s="472"/>
      <c r="C30" s="341">
        <v>26</v>
      </c>
      <c r="D30" s="337" t="s">
        <v>339</v>
      </c>
      <c r="E30" s="333"/>
      <c r="F30" s="331" t="s">
        <v>286</v>
      </c>
      <c r="G30" s="338"/>
      <c r="H30" s="331"/>
      <c r="I30" s="333" t="s">
        <v>287</v>
      </c>
      <c r="J30" s="331"/>
      <c r="K30" s="334"/>
      <c r="L30" s="472"/>
      <c r="M30" s="341">
        <v>88</v>
      </c>
      <c r="N30" s="337" t="s">
        <v>340</v>
      </c>
      <c r="O30" s="338"/>
      <c r="P30" s="331" t="s">
        <v>423</v>
      </c>
      <c r="Q30" s="342"/>
      <c r="R30" s="340"/>
      <c r="S30" s="343"/>
      <c r="T30" s="331"/>
    </row>
    <row r="31" spans="2:20" ht="14.25">
      <c r="B31" s="472"/>
      <c r="C31" s="341">
        <v>27</v>
      </c>
      <c r="D31" s="337" t="s">
        <v>341</v>
      </c>
      <c r="E31" s="333" t="s">
        <v>287</v>
      </c>
      <c r="F31" s="331"/>
      <c r="G31" s="333" t="s">
        <v>287</v>
      </c>
      <c r="H31" s="331"/>
      <c r="I31" s="333" t="s">
        <v>287</v>
      </c>
      <c r="J31" s="331"/>
      <c r="K31" s="334"/>
      <c r="L31" s="472"/>
      <c r="M31" s="341">
        <v>89</v>
      </c>
      <c r="N31" s="337" t="s">
        <v>342</v>
      </c>
      <c r="O31" s="333" t="s">
        <v>287</v>
      </c>
      <c r="P31" s="331"/>
      <c r="Q31" s="342"/>
      <c r="R31" s="340" t="s">
        <v>286</v>
      </c>
      <c r="S31" s="343"/>
      <c r="T31" s="331"/>
    </row>
    <row r="32" spans="2:20" ht="14.25">
      <c r="B32" s="472"/>
      <c r="C32" s="341">
        <v>28</v>
      </c>
      <c r="D32" s="337" t="s">
        <v>343</v>
      </c>
      <c r="E32" s="338"/>
      <c r="F32" s="331"/>
      <c r="G32" s="333" t="s">
        <v>287</v>
      </c>
      <c r="H32" s="331"/>
      <c r="I32" s="333" t="s">
        <v>287</v>
      </c>
      <c r="J32" s="331"/>
      <c r="K32" s="334"/>
      <c r="L32" s="472"/>
      <c r="M32" s="341">
        <v>90</v>
      </c>
      <c r="N32" s="337" t="s">
        <v>344</v>
      </c>
      <c r="O32" s="333" t="s">
        <v>287</v>
      </c>
      <c r="P32" s="331" t="s">
        <v>423</v>
      </c>
      <c r="Q32" s="342" t="s">
        <v>287</v>
      </c>
      <c r="R32" s="331" t="s">
        <v>423</v>
      </c>
      <c r="S32" s="333" t="s">
        <v>287</v>
      </c>
      <c r="T32" s="331" t="s">
        <v>423</v>
      </c>
    </row>
    <row r="33" spans="2:20" ht="14.25">
      <c r="B33" s="472"/>
      <c r="C33" s="341">
        <v>29</v>
      </c>
      <c r="D33" s="337" t="s">
        <v>345</v>
      </c>
      <c r="E33" s="333"/>
      <c r="F33" s="331" t="s">
        <v>286</v>
      </c>
      <c r="G33" s="333"/>
      <c r="H33" s="331" t="s">
        <v>286</v>
      </c>
      <c r="I33" s="333" t="s">
        <v>287</v>
      </c>
      <c r="J33" s="331" t="s">
        <v>286</v>
      </c>
      <c r="K33" s="334"/>
      <c r="L33" s="472"/>
      <c r="M33" s="341">
        <v>91</v>
      </c>
      <c r="N33" s="337" t="s">
        <v>346</v>
      </c>
      <c r="O33" s="333"/>
      <c r="P33" s="331" t="s">
        <v>286</v>
      </c>
      <c r="Q33" s="339"/>
      <c r="R33" s="340"/>
      <c r="S33" s="343"/>
      <c r="T33" s="331"/>
    </row>
    <row r="34" spans="2:20" ht="14.25">
      <c r="B34" s="472"/>
      <c r="C34" s="341">
        <v>30</v>
      </c>
      <c r="D34" s="337" t="s">
        <v>347</v>
      </c>
      <c r="E34" s="338" t="s">
        <v>422</v>
      </c>
      <c r="F34" s="331"/>
      <c r="G34" s="338"/>
      <c r="H34" s="331" t="s">
        <v>423</v>
      </c>
      <c r="I34" s="343" t="s">
        <v>422</v>
      </c>
      <c r="J34" s="331" t="s">
        <v>423</v>
      </c>
      <c r="K34" s="334"/>
      <c r="L34" s="472"/>
      <c r="M34" s="341">
        <v>92</v>
      </c>
      <c r="N34" s="337" t="s">
        <v>348</v>
      </c>
      <c r="O34" s="333" t="s">
        <v>287</v>
      </c>
      <c r="P34" s="331"/>
      <c r="Q34" s="342"/>
      <c r="R34" s="340" t="s">
        <v>286</v>
      </c>
      <c r="S34" s="343"/>
      <c r="T34" s="331"/>
    </row>
    <row r="35" spans="2:20" ht="14.25">
      <c r="B35" s="472"/>
      <c r="C35" s="341">
        <v>31</v>
      </c>
      <c r="D35" s="337" t="s">
        <v>349</v>
      </c>
      <c r="E35" s="333"/>
      <c r="F35" s="331" t="s">
        <v>286</v>
      </c>
      <c r="G35" s="333" t="s">
        <v>287</v>
      </c>
      <c r="H35" s="331"/>
      <c r="I35" s="333" t="s">
        <v>287</v>
      </c>
      <c r="J35" s="331" t="s">
        <v>286</v>
      </c>
      <c r="K35" s="334"/>
      <c r="L35" s="472"/>
      <c r="M35" s="341">
        <v>93</v>
      </c>
      <c r="N35" s="337" t="s">
        <v>350</v>
      </c>
      <c r="O35" s="333" t="s">
        <v>287</v>
      </c>
      <c r="P35" s="331"/>
      <c r="Q35" s="339"/>
      <c r="R35" s="340"/>
      <c r="S35" s="343"/>
      <c r="T35" s="331"/>
    </row>
    <row r="36" spans="2:20" ht="14.25">
      <c r="B36" s="472"/>
      <c r="C36" s="341">
        <v>32</v>
      </c>
      <c r="D36" s="337" t="s">
        <v>351</v>
      </c>
      <c r="E36" s="338"/>
      <c r="F36" s="331"/>
      <c r="G36" s="338"/>
      <c r="H36" s="331"/>
      <c r="I36" s="333" t="s">
        <v>287</v>
      </c>
      <c r="J36" s="331"/>
      <c r="K36" s="334"/>
      <c r="L36" s="472"/>
      <c r="M36" s="341">
        <v>94</v>
      </c>
      <c r="N36" s="337" t="s">
        <v>352</v>
      </c>
      <c r="O36" s="333" t="s">
        <v>287</v>
      </c>
      <c r="P36" s="331"/>
      <c r="Q36" s="339"/>
      <c r="R36" s="340"/>
      <c r="S36" s="333" t="s">
        <v>287</v>
      </c>
      <c r="T36" s="331"/>
    </row>
    <row r="37" spans="2:20" ht="14.25">
      <c r="B37" s="472"/>
      <c r="C37" s="341">
        <v>33</v>
      </c>
      <c r="D37" s="337" t="s">
        <v>353</v>
      </c>
      <c r="E37" s="338"/>
      <c r="F37" s="331" t="s">
        <v>286</v>
      </c>
      <c r="G37" s="338"/>
      <c r="H37" s="331"/>
      <c r="I37" s="343"/>
      <c r="J37" s="331" t="s">
        <v>424</v>
      </c>
      <c r="K37" s="334"/>
      <c r="L37" s="472"/>
      <c r="M37" s="341">
        <v>95</v>
      </c>
      <c r="N37" s="337" t="s">
        <v>354</v>
      </c>
      <c r="O37" s="333" t="s">
        <v>287</v>
      </c>
      <c r="P37" s="331" t="s">
        <v>286</v>
      </c>
      <c r="Q37" s="342" t="s">
        <v>287</v>
      </c>
      <c r="R37" s="340"/>
      <c r="S37" s="333" t="s">
        <v>287</v>
      </c>
      <c r="T37" s="331"/>
    </row>
    <row r="38" spans="2:20" ht="14.25">
      <c r="B38" s="472"/>
      <c r="C38" s="341">
        <v>34</v>
      </c>
      <c r="D38" s="337" t="s">
        <v>355</v>
      </c>
      <c r="E38" s="333"/>
      <c r="F38" s="331"/>
      <c r="G38" s="333" t="s">
        <v>287</v>
      </c>
      <c r="H38" s="331"/>
      <c r="I38" s="333" t="s">
        <v>287</v>
      </c>
      <c r="J38" s="331"/>
      <c r="K38" s="334"/>
      <c r="L38" s="472"/>
      <c r="M38" s="341">
        <v>96</v>
      </c>
      <c r="N38" s="337" t="s">
        <v>356</v>
      </c>
      <c r="O38" s="333" t="s">
        <v>287</v>
      </c>
      <c r="P38" s="331"/>
      <c r="Q38" s="342" t="s">
        <v>287</v>
      </c>
      <c r="R38" s="340" t="s">
        <v>286</v>
      </c>
      <c r="S38" s="333" t="s">
        <v>287</v>
      </c>
      <c r="T38" s="331"/>
    </row>
    <row r="39" spans="2:20" ht="14.25">
      <c r="B39" s="472"/>
      <c r="C39" s="341">
        <v>35</v>
      </c>
      <c r="D39" s="337" t="s">
        <v>357</v>
      </c>
      <c r="E39" s="333" t="s">
        <v>287</v>
      </c>
      <c r="F39" s="331" t="s">
        <v>286</v>
      </c>
      <c r="G39" s="333" t="s">
        <v>287</v>
      </c>
      <c r="H39" s="331"/>
      <c r="I39" s="333" t="s">
        <v>287</v>
      </c>
      <c r="J39" s="331" t="s">
        <v>286</v>
      </c>
      <c r="K39" s="334"/>
      <c r="L39" s="472"/>
      <c r="M39" s="341">
        <v>97</v>
      </c>
      <c r="N39" s="337" t="s">
        <v>358</v>
      </c>
      <c r="O39" s="333" t="s">
        <v>287</v>
      </c>
      <c r="P39" s="331"/>
      <c r="Q39" s="342"/>
      <c r="R39" s="340" t="s">
        <v>286</v>
      </c>
      <c r="S39" s="333" t="s">
        <v>287</v>
      </c>
      <c r="T39" s="331"/>
    </row>
    <row r="40" spans="2:20" ht="14.25" customHeight="1" thickBot="1">
      <c r="B40" s="472"/>
      <c r="C40" s="341">
        <v>36</v>
      </c>
      <c r="D40" s="337" t="s">
        <v>359</v>
      </c>
      <c r="E40" s="333" t="s">
        <v>287</v>
      </c>
      <c r="F40" s="331"/>
      <c r="G40" s="338"/>
      <c r="H40" s="331"/>
      <c r="I40" s="333" t="s">
        <v>287</v>
      </c>
      <c r="J40" s="331"/>
      <c r="K40" s="334"/>
      <c r="L40" s="473"/>
      <c r="M40" s="351">
        <v>98</v>
      </c>
      <c r="N40" s="352" t="s">
        <v>360</v>
      </c>
      <c r="O40" s="353" t="s">
        <v>422</v>
      </c>
      <c r="P40" s="354"/>
      <c r="Q40" s="355"/>
      <c r="R40" s="356" t="s">
        <v>423</v>
      </c>
      <c r="S40" s="357" t="s">
        <v>422</v>
      </c>
      <c r="T40" s="354" t="s">
        <v>423</v>
      </c>
    </row>
    <row r="41" spans="2:20" ht="14.25" customHeight="1">
      <c r="B41" s="472"/>
      <c r="C41" s="341">
        <v>37</v>
      </c>
      <c r="D41" s="337" t="s">
        <v>361</v>
      </c>
      <c r="E41" s="333"/>
      <c r="F41" s="331" t="s">
        <v>286</v>
      </c>
      <c r="G41" s="338"/>
      <c r="H41" s="331"/>
      <c r="I41" s="333" t="s">
        <v>287</v>
      </c>
      <c r="J41" s="331" t="s">
        <v>286</v>
      </c>
      <c r="K41" s="334"/>
      <c r="L41" s="475" t="s">
        <v>362</v>
      </c>
      <c r="M41" s="328">
        <v>99</v>
      </c>
      <c r="N41" s="329" t="s">
        <v>363</v>
      </c>
      <c r="O41" s="330"/>
      <c r="P41" s="332"/>
      <c r="Q41" s="358"/>
      <c r="R41" s="336"/>
      <c r="S41" s="338" t="s">
        <v>422</v>
      </c>
      <c r="T41" s="332"/>
    </row>
    <row r="42" spans="2:20" ht="14.25">
      <c r="B42" s="472"/>
      <c r="C42" s="341">
        <v>38</v>
      </c>
      <c r="D42" s="337" t="s">
        <v>364</v>
      </c>
      <c r="E42" s="333"/>
      <c r="F42" s="331" t="s">
        <v>286</v>
      </c>
      <c r="G42" s="333"/>
      <c r="H42" s="331" t="s">
        <v>286</v>
      </c>
      <c r="I42" s="333" t="s">
        <v>287</v>
      </c>
      <c r="J42" s="331" t="s">
        <v>286</v>
      </c>
      <c r="K42" s="334"/>
      <c r="L42" s="476"/>
      <c r="M42" s="359">
        <v>100</v>
      </c>
      <c r="N42" s="345" t="s">
        <v>365</v>
      </c>
      <c r="O42" s="346"/>
      <c r="P42" s="347"/>
      <c r="Q42" s="348"/>
      <c r="R42" s="349"/>
      <c r="S42" s="350"/>
      <c r="T42" s="347"/>
    </row>
    <row r="43" spans="2:20" ht="14.25">
      <c r="B43" s="472"/>
      <c r="C43" s="344">
        <v>39</v>
      </c>
      <c r="D43" s="345" t="s">
        <v>366</v>
      </c>
      <c r="E43" s="346"/>
      <c r="F43" s="347"/>
      <c r="G43" s="346"/>
      <c r="H43" s="347"/>
      <c r="I43" s="350"/>
      <c r="J43" s="347"/>
      <c r="K43" s="334"/>
      <c r="L43" s="476"/>
      <c r="M43" s="328">
        <v>101</v>
      </c>
      <c r="N43" s="337" t="s">
        <v>367</v>
      </c>
      <c r="O43" s="338"/>
      <c r="P43" s="331" t="s">
        <v>286</v>
      </c>
      <c r="Q43" s="339"/>
      <c r="R43" s="340"/>
      <c r="S43" s="343"/>
      <c r="T43" s="331" t="s">
        <v>423</v>
      </c>
    </row>
    <row r="44" spans="2:20" ht="14.25">
      <c r="B44" s="472"/>
      <c r="C44" s="341">
        <v>40</v>
      </c>
      <c r="D44" s="337" t="s">
        <v>368</v>
      </c>
      <c r="E44" s="333"/>
      <c r="F44" s="331" t="s">
        <v>286</v>
      </c>
      <c r="G44" s="333"/>
      <c r="H44" s="331" t="s">
        <v>286</v>
      </c>
      <c r="I44" s="333" t="s">
        <v>287</v>
      </c>
      <c r="J44" s="331" t="s">
        <v>286</v>
      </c>
      <c r="K44" s="334"/>
      <c r="L44" s="476"/>
      <c r="M44" s="328">
        <v>102</v>
      </c>
      <c r="N44" s="337" t="s">
        <v>369</v>
      </c>
      <c r="O44" s="333"/>
      <c r="P44" s="331" t="s">
        <v>286</v>
      </c>
      <c r="Q44" s="339"/>
      <c r="R44" s="340"/>
      <c r="S44" s="343"/>
      <c r="T44" s="331"/>
    </row>
    <row r="45" spans="2:20" ht="14.25">
      <c r="B45" s="472"/>
      <c r="C45" s="341">
        <v>41</v>
      </c>
      <c r="D45" s="337" t="s">
        <v>370</v>
      </c>
      <c r="E45" s="333" t="s">
        <v>287</v>
      </c>
      <c r="F45" s="331" t="s">
        <v>286</v>
      </c>
      <c r="G45" s="333"/>
      <c r="H45" s="331" t="s">
        <v>286</v>
      </c>
      <c r="I45" s="333" t="s">
        <v>287</v>
      </c>
      <c r="J45" s="331" t="s">
        <v>286</v>
      </c>
      <c r="K45" s="334"/>
      <c r="L45" s="476"/>
      <c r="M45" s="328">
        <v>103</v>
      </c>
      <c r="N45" s="337" t="s">
        <v>371</v>
      </c>
      <c r="O45" s="338"/>
      <c r="P45" s="331"/>
      <c r="Q45" s="339"/>
      <c r="R45" s="340"/>
      <c r="S45" s="333" t="s">
        <v>287</v>
      </c>
      <c r="T45" s="331"/>
    </row>
    <row r="46" spans="2:20" ht="14.25">
      <c r="B46" s="472"/>
      <c r="C46" s="341">
        <v>42</v>
      </c>
      <c r="D46" s="337" t="s">
        <v>372</v>
      </c>
      <c r="E46" s="333" t="s">
        <v>287</v>
      </c>
      <c r="F46" s="331"/>
      <c r="G46" s="338"/>
      <c r="H46" s="331"/>
      <c r="I46" s="333" t="s">
        <v>287</v>
      </c>
      <c r="J46" s="331"/>
      <c r="K46" s="334"/>
      <c r="L46" s="476"/>
      <c r="M46" s="328">
        <v>104</v>
      </c>
      <c r="N46" s="360" t="s">
        <v>373</v>
      </c>
      <c r="O46" s="333" t="s">
        <v>287</v>
      </c>
      <c r="P46" s="361"/>
      <c r="Q46" s="342" t="s">
        <v>287</v>
      </c>
      <c r="R46" s="362"/>
      <c r="S46" s="333" t="s">
        <v>287</v>
      </c>
      <c r="T46" s="361"/>
    </row>
    <row r="47" spans="2:20" ht="15" thickBot="1">
      <c r="B47" s="472"/>
      <c r="C47" s="341">
        <v>43</v>
      </c>
      <c r="D47" s="337" t="s">
        <v>374</v>
      </c>
      <c r="E47" s="333" t="s">
        <v>287</v>
      </c>
      <c r="F47" s="331" t="s">
        <v>286</v>
      </c>
      <c r="G47" s="338"/>
      <c r="H47" s="331"/>
      <c r="I47" s="333" t="s">
        <v>287</v>
      </c>
      <c r="J47" s="331" t="s">
        <v>286</v>
      </c>
      <c r="K47" s="334"/>
      <c r="L47" s="477"/>
      <c r="M47" s="363">
        <v>105</v>
      </c>
      <c r="N47" s="364" t="s">
        <v>375</v>
      </c>
      <c r="O47" s="365"/>
      <c r="P47" s="366"/>
      <c r="Q47" s="367"/>
      <c r="R47" s="368"/>
      <c r="S47" s="369"/>
      <c r="T47" s="366"/>
    </row>
    <row r="48" spans="2:20" ht="15" customHeight="1">
      <c r="B48" s="472"/>
      <c r="C48" s="341">
        <v>44</v>
      </c>
      <c r="D48" s="337" t="s">
        <v>376</v>
      </c>
      <c r="E48" s="333"/>
      <c r="F48" s="331" t="s">
        <v>286</v>
      </c>
      <c r="G48" s="333"/>
      <c r="H48" s="331" t="s">
        <v>286</v>
      </c>
      <c r="I48" s="333" t="s">
        <v>287</v>
      </c>
      <c r="J48" s="331" t="s">
        <v>286</v>
      </c>
      <c r="K48" s="334"/>
      <c r="L48" s="478" t="s">
        <v>377</v>
      </c>
      <c r="M48" s="359">
        <v>106</v>
      </c>
      <c r="N48" s="370" t="s">
        <v>378</v>
      </c>
      <c r="O48" s="371"/>
      <c r="P48" s="372"/>
      <c r="Q48" s="373"/>
      <c r="R48" s="374"/>
      <c r="S48" s="375"/>
      <c r="T48" s="372"/>
    </row>
    <row r="49" spans="2:20" ht="14.25" customHeight="1">
      <c r="B49" s="472"/>
      <c r="C49" s="341">
        <v>45</v>
      </c>
      <c r="D49" s="337" t="s">
        <v>379</v>
      </c>
      <c r="E49" s="333" t="s">
        <v>287</v>
      </c>
      <c r="F49" s="331"/>
      <c r="G49" s="333"/>
      <c r="H49" s="331" t="s">
        <v>286</v>
      </c>
      <c r="I49" s="333" t="s">
        <v>287</v>
      </c>
      <c r="J49" s="331"/>
      <c r="K49" s="334"/>
      <c r="L49" s="472"/>
      <c r="M49" s="359">
        <v>107</v>
      </c>
      <c r="N49" s="345" t="s">
        <v>380</v>
      </c>
      <c r="O49" s="346"/>
      <c r="P49" s="347"/>
      <c r="Q49" s="348"/>
      <c r="R49" s="349"/>
      <c r="S49" s="350"/>
      <c r="T49" s="347"/>
    </row>
    <row r="50" spans="2:20" ht="14.25">
      <c r="B50" s="472"/>
      <c r="C50" s="341">
        <v>46</v>
      </c>
      <c r="D50" s="337" t="s">
        <v>381</v>
      </c>
      <c r="E50" s="338"/>
      <c r="F50" s="331"/>
      <c r="G50" s="333"/>
      <c r="H50" s="331" t="s">
        <v>286</v>
      </c>
      <c r="I50" s="333" t="s">
        <v>422</v>
      </c>
      <c r="J50" s="331" t="s">
        <v>286</v>
      </c>
      <c r="K50" s="334"/>
      <c r="L50" s="472"/>
      <c r="M50" s="328">
        <v>108</v>
      </c>
      <c r="N50" s="337" t="s">
        <v>382</v>
      </c>
      <c r="O50" s="333"/>
      <c r="P50" s="331" t="s">
        <v>286</v>
      </c>
      <c r="Q50" s="339"/>
      <c r="R50" s="340"/>
      <c r="S50" s="343"/>
      <c r="T50" s="331"/>
    </row>
    <row r="51" spans="2:20" ht="15" thickBot="1">
      <c r="B51" s="473"/>
      <c r="C51" s="351">
        <v>47</v>
      </c>
      <c r="D51" s="352" t="s">
        <v>383</v>
      </c>
      <c r="E51" s="353"/>
      <c r="F51" s="354" t="s">
        <v>286</v>
      </c>
      <c r="G51" s="376"/>
      <c r="H51" s="354"/>
      <c r="I51" s="353" t="s">
        <v>287</v>
      </c>
      <c r="J51" s="354"/>
      <c r="K51" s="334"/>
      <c r="L51" s="472"/>
      <c r="M51" s="359">
        <v>109</v>
      </c>
      <c r="N51" s="345" t="s">
        <v>384</v>
      </c>
      <c r="O51" s="346"/>
      <c r="P51" s="347"/>
      <c r="Q51" s="348"/>
      <c r="R51" s="349"/>
      <c r="S51" s="350"/>
      <c r="T51" s="347"/>
    </row>
    <row r="52" spans="2:20" ht="14.25" customHeight="1">
      <c r="B52" s="478" t="s">
        <v>385</v>
      </c>
      <c r="C52" s="328">
        <v>48</v>
      </c>
      <c r="D52" s="329" t="s">
        <v>386</v>
      </c>
      <c r="E52" s="333" t="s">
        <v>287</v>
      </c>
      <c r="F52" s="332"/>
      <c r="G52" s="333" t="s">
        <v>287</v>
      </c>
      <c r="H52" s="332"/>
      <c r="I52" s="333" t="s">
        <v>287</v>
      </c>
      <c r="J52" s="332"/>
      <c r="K52" s="334"/>
      <c r="L52" s="472"/>
      <c r="M52" s="359">
        <v>110</v>
      </c>
      <c r="N52" s="345" t="s">
        <v>387</v>
      </c>
      <c r="O52" s="346"/>
      <c r="P52" s="347"/>
      <c r="Q52" s="348"/>
      <c r="R52" s="349"/>
      <c r="S52" s="350"/>
      <c r="T52" s="347"/>
    </row>
    <row r="53" spans="2:20" ht="14.25">
      <c r="B53" s="472"/>
      <c r="C53" s="341">
        <v>49</v>
      </c>
      <c r="D53" s="337" t="s">
        <v>388</v>
      </c>
      <c r="E53" s="333" t="s">
        <v>287</v>
      </c>
      <c r="F53" s="331" t="s">
        <v>286</v>
      </c>
      <c r="G53" s="338"/>
      <c r="H53" s="331"/>
      <c r="I53" s="343"/>
      <c r="J53" s="331"/>
      <c r="K53" s="334"/>
      <c r="L53" s="472"/>
      <c r="M53" s="328">
        <v>111</v>
      </c>
      <c r="N53" s="337" t="s">
        <v>389</v>
      </c>
      <c r="O53" s="338"/>
      <c r="P53" s="331"/>
      <c r="Q53" s="339"/>
      <c r="R53" s="340"/>
      <c r="S53" s="333" t="s">
        <v>287</v>
      </c>
      <c r="T53" s="331"/>
    </row>
    <row r="54" spans="2:20" ht="14.25">
      <c r="B54" s="472"/>
      <c r="C54" s="341">
        <v>50</v>
      </c>
      <c r="D54" s="337" t="s">
        <v>390</v>
      </c>
      <c r="E54" s="333" t="s">
        <v>287</v>
      </c>
      <c r="F54" s="331"/>
      <c r="G54" s="333" t="s">
        <v>287</v>
      </c>
      <c r="H54" s="331"/>
      <c r="I54" s="333" t="s">
        <v>287</v>
      </c>
      <c r="J54" s="331"/>
      <c r="K54" s="334"/>
      <c r="L54" s="472"/>
      <c r="M54" s="359">
        <v>112</v>
      </c>
      <c r="N54" s="345" t="s">
        <v>391</v>
      </c>
      <c r="O54" s="346"/>
      <c r="P54" s="347"/>
      <c r="Q54" s="348"/>
      <c r="R54" s="349"/>
      <c r="S54" s="350"/>
      <c r="T54" s="347"/>
    </row>
    <row r="55" spans="2:20" ht="14.25">
      <c r="B55" s="472"/>
      <c r="C55" s="341">
        <v>51</v>
      </c>
      <c r="D55" s="337" t="s">
        <v>392</v>
      </c>
      <c r="E55" s="333" t="s">
        <v>287</v>
      </c>
      <c r="F55" s="331" t="s">
        <v>286</v>
      </c>
      <c r="G55" s="338"/>
      <c r="H55" s="331"/>
      <c r="I55" s="343"/>
      <c r="J55" s="331"/>
      <c r="K55" s="334"/>
      <c r="L55" s="472"/>
      <c r="M55" s="328">
        <v>113</v>
      </c>
      <c r="N55" s="337" t="s">
        <v>393</v>
      </c>
      <c r="O55" s="338" t="s">
        <v>422</v>
      </c>
      <c r="P55" s="331"/>
      <c r="Q55" s="339"/>
      <c r="R55" s="340"/>
      <c r="S55" s="343" t="s">
        <v>422</v>
      </c>
      <c r="T55" s="331" t="s">
        <v>286</v>
      </c>
    </row>
    <row r="56" spans="2:20" ht="14.25">
      <c r="B56" s="472"/>
      <c r="C56" s="341">
        <v>52</v>
      </c>
      <c r="D56" s="337" t="s">
        <v>394</v>
      </c>
      <c r="E56" s="338"/>
      <c r="F56" s="331"/>
      <c r="G56" s="333" t="s">
        <v>287</v>
      </c>
      <c r="H56" s="331"/>
      <c r="I56" s="343"/>
      <c r="J56" s="331"/>
      <c r="K56" s="334"/>
      <c r="L56" s="472"/>
      <c r="M56" s="359">
        <v>114</v>
      </c>
      <c r="N56" s="345" t="s">
        <v>395</v>
      </c>
      <c r="O56" s="346"/>
      <c r="P56" s="347"/>
      <c r="Q56" s="348"/>
      <c r="R56" s="349"/>
      <c r="S56" s="350"/>
      <c r="T56" s="347"/>
    </row>
    <row r="57" spans="2:20" ht="14.25">
      <c r="B57" s="472"/>
      <c r="C57" s="341">
        <v>53</v>
      </c>
      <c r="D57" s="337" t="s">
        <v>396</v>
      </c>
      <c r="E57" s="338" t="s">
        <v>292</v>
      </c>
      <c r="F57" s="331"/>
      <c r="G57" s="338" t="s">
        <v>292</v>
      </c>
      <c r="H57" s="331"/>
      <c r="I57" s="343" t="s">
        <v>292</v>
      </c>
      <c r="J57" s="331"/>
      <c r="K57" s="334"/>
      <c r="L57" s="472"/>
      <c r="M57" s="359">
        <v>115</v>
      </c>
      <c r="N57" s="345" t="s">
        <v>397</v>
      </c>
      <c r="O57" s="346"/>
      <c r="P57" s="347"/>
      <c r="Q57" s="348"/>
      <c r="R57" s="349"/>
      <c r="S57" s="350"/>
      <c r="T57" s="347"/>
    </row>
    <row r="58" spans="2:20" ht="14.25">
      <c r="B58" s="472"/>
      <c r="C58" s="341">
        <v>54</v>
      </c>
      <c r="D58" s="337" t="s">
        <v>398</v>
      </c>
      <c r="E58" s="338" t="s">
        <v>287</v>
      </c>
      <c r="F58" s="331"/>
      <c r="G58" s="343"/>
      <c r="H58" s="331"/>
      <c r="I58" s="338" t="s">
        <v>287</v>
      </c>
      <c r="J58" s="331"/>
      <c r="K58" s="334"/>
      <c r="L58" s="472"/>
      <c r="M58" s="359">
        <v>116</v>
      </c>
      <c r="N58" s="345" t="s">
        <v>399</v>
      </c>
      <c r="O58" s="346"/>
      <c r="P58" s="347"/>
      <c r="Q58" s="348"/>
      <c r="R58" s="349"/>
      <c r="S58" s="350"/>
      <c r="T58" s="347"/>
    </row>
    <row r="59" spans="2:20" ht="14.25">
      <c r="B59" s="472"/>
      <c r="C59" s="341">
        <v>55</v>
      </c>
      <c r="D59" s="337" t="s">
        <v>400</v>
      </c>
      <c r="E59" s="338" t="s">
        <v>287</v>
      </c>
      <c r="F59" s="331"/>
      <c r="G59" s="343" t="s">
        <v>287</v>
      </c>
      <c r="H59" s="331"/>
      <c r="I59" s="338" t="s">
        <v>287</v>
      </c>
      <c r="J59" s="331"/>
      <c r="K59" s="334"/>
      <c r="L59" s="472"/>
      <c r="M59" s="328">
        <v>117</v>
      </c>
      <c r="N59" s="337" t="s">
        <v>401</v>
      </c>
      <c r="O59" s="333"/>
      <c r="P59" s="331" t="s">
        <v>286</v>
      </c>
      <c r="Q59" s="339"/>
      <c r="R59" s="340"/>
      <c r="S59" s="343"/>
      <c r="T59" s="331"/>
    </row>
    <row r="60" spans="2:20" ht="14.25">
      <c r="B60" s="472"/>
      <c r="C60" s="341">
        <v>56</v>
      </c>
      <c r="D60" s="337" t="s">
        <v>402</v>
      </c>
      <c r="E60" s="338" t="s">
        <v>422</v>
      </c>
      <c r="F60" s="331"/>
      <c r="G60" s="343"/>
      <c r="H60" s="331" t="s">
        <v>423</v>
      </c>
      <c r="I60" s="343"/>
      <c r="J60" s="331"/>
      <c r="K60" s="334"/>
      <c r="L60" s="472"/>
      <c r="M60" s="359">
        <v>118</v>
      </c>
      <c r="N60" s="345" t="s">
        <v>403</v>
      </c>
      <c r="O60" s="346"/>
      <c r="P60" s="347"/>
      <c r="Q60" s="348"/>
      <c r="R60" s="349"/>
      <c r="S60" s="350"/>
      <c r="T60" s="347"/>
    </row>
    <row r="61" spans="2:20" ht="14.25">
      <c r="B61" s="472"/>
      <c r="C61" s="341">
        <v>57</v>
      </c>
      <c r="D61" s="337" t="s">
        <v>404</v>
      </c>
      <c r="E61" s="333" t="s">
        <v>287</v>
      </c>
      <c r="F61" s="331"/>
      <c r="G61" s="343" t="s">
        <v>287</v>
      </c>
      <c r="H61" s="331"/>
      <c r="I61" s="333" t="s">
        <v>287</v>
      </c>
      <c r="J61" s="331"/>
      <c r="K61" s="334"/>
      <c r="L61" s="472"/>
      <c r="M61" s="359">
        <v>119</v>
      </c>
      <c r="N61" s="345" t="s">
        <v>405</v>
      </c>
      <c r="O61" s="346"/>
      <c r="P61" s="347"/>
      <c r="Q61" s="348"/>
      <c r="R61" s="349"/>
      <c r="S61" s="350"/>
      <c r="T61" s="347"/>
    </row>
    <row r="62" spans="2:20" ht="14.25">
      <c r="B62" s="472"/>
      <c r="C62" s="341">
        <v>58</v>
      </c>
      <c r="D62" s="337" t="s">
        <v>406</v>
      </c>
      <c r="E62" s="333" t="s">
        <v>287</v>
      </c>
      <c r="F62" s="331"/>
      <c r="G62" s="342" t="s">
        <v>287</v>
      </c>
      <c r="H62" s="340"/>
      <c r="I62" s="343"/>
      <c r="J62" s="331"/>
      <c r="K62" s="334"/>
      <c r="L62" s="472"/>
      <c r="M62" s="328">
        <v>120</v>
      </c>
      <c r="N62" s="337" t="s">
        <v>407</v>
      </c>
      <c r="O62" s="338"/>
      <c r="P62" s="331"/>
      <c r="Q62" s="342" t="s">
        <v>287</v>
      </c>
      <c r="R62" s="340"/>
      <c r="S62" s="333" t="s">
        <v>287</v>
      </c>
      <c r="T62" s="331"/>
    </row>
    <row r="63" spans="2:20" ht="14.25">
      <c r="B63" s="472"/>
      <c r="C63" s="341">
        <v>59</v>
      </c>
      <c r="D63" s="337" t="s">
        <v>408</v>
      </c>
      <c r="E63" s="333" t="s">
        <v>287</v>
      </c>
      <c r="F63" s="331"/>
      <c r="G63" s="343" t="s">
        <v>287</v>
      </c>
      <c r="H63" s="331"/>
      <c r="I63" s="333" t="s">
        <v>287</v>
      </c>
      <c r="J63" s="331"/>
      <c r="K63" s="334"/>
      <c r="L63" s="472"/>
      <c r="M63" s="328">
        <v>121</v>
      </c>
      <c r="N63" s="337" t="s">
        <v>409</v>
      </c>
      <c r="O63" s="338"/>
      <c r="P63" s="331"/>
      <c r="Q63" s="339"/>
      <c r="R63" s="331" t="s">
        <v>286</v>
      </c>
      <c r="S63" s="343"/>
      <c r="T63" s="331" t="s">
        <v>286</v>
      </c>
    </row>
    <row r="64" spans="2:20" ht="14.25">
      <c r="B64" s="472"/>
      <c r="C64" s="341">
        <v>60</v>
      </c>
      <c r="D64" s="337" t="s">
        <v>410</v>
      </c>
      <c r="E64" s="333" t="s">
        <v>287</v>
      </c>
      <c r="F64" s="331"/>
      <c r="G64" s="343"/>
      <c r="H64" s="331"/>
      <c r="I64" s="333" t="s">
        <v>287</v>
      </c>
      <c r="J64" s="331"/>
      <c r="K64" s="334"/>
      <c r="L64" s="472"/>
      <c r="M64" s="359">
        <v>122</v>
      </c>
      <c r="N64" s="345" t="s">
        <v>411</v>
      </c>
      <c r="O64" s="346"/>
      <c r="P64" s="347"/>
      <c r="Q64" s="348"/>
      <c r="R64" s="349"/>
      <c r="S64" s="350"/>
      <c r="T64" s="347"/>
    </row>
    <row r="65" spans="2:20" ht="14.25">
      <c r="B65" s="472"/>
      <c r="C65" s="341">
        <v>61</v>
      </c>
      <c r="D65" s="337" t="s">
        <v>412</v>
      </c>
      <c r="E65" s="333" t="s">
        <v>287</v>
      </c>
      <c r="F65" s="331"/>
      <c r="G65" s="338"/>
      <c r="H65" s="331"/>
      <c r="I65" s="333" t="s">
        <v>287</v>
      </c>
      <c r="J65" s="331"/>
      <c r="K65" s="334"/>
      <c r="L65" s="472"/>
      <c r="M65" s="359">
        <v>123</v>
      </c>
      <c r="N65" s="345" t="s">
        <v>413</v>
      </c>
      <c r="O65" s="346"/>
      <c r="P65" s="347"/>
      <c r="Q65" s="348"/>
      <c r="R65" s="349"/>
      <c r="S65" s="350"/>
      <c r="T65" s="347"/>
    </row>
    <row r="66" spans="2:20" ht="15" thickBot="1">
      <c r="B66" s="473"/>
      <c r="C66" s="351">
        <v>62</v>
      </c>
      <c r="D66" s="352" t="s">
        <v>414</v>
      </c>
      <c r="E66" s="353" t="s">
        <v>287</v>
      </c>
      <c r="F66" s="354"/>
      <c r="G66" s="357"/>
      <c r="H66" s="354" t="s">
        <v>423</v>
      </c>
      <c r="I66" s="357"/>
      <c r="J66" s="354"/>
      <c r="K66" s="334"/>
      <c r="L66" s="472"/>
      <c r="M66" s="328">
        <v>124</v>
      </c>
      <c r="N66" s="337" t="s">
        <v>415</v>
      </c>
      <c r="O66" s="333" t="s">
        <v>287</v>
      </c>
      <c r="P66" s="331"/>
      <c r="Q66" s="339"/>
      <c r="R66" s="340"/>
      <c r="S66" s="343"/>
      <c r="T66" s="331"/>
    </row>
    <row r="67" spans="4:20" ht="14.25">
      <c r="D67" s="377"/>
      <c r="E67" s="377"/>
      <c r="F67" s="377"/>
      <c r="G67" s="377"/>
      <c r="H67" s="377"/>
      <c r="I67" s="378"/>
      <c r="J67" s="378"/>
      <c r="K67" s="378"/>
      <c r="L67" s="472"/>
      <c r="M67" s="328">
        <v>125</v>
      </c>
      <c r="N67" s="337" t="s">
        <v>416</v>
      </c>
      <c r="O67" s="338"/>
      <c r="P67" s="331"/>
      <c r="Q67" s="339"/>
      <c r="R67" s="340"/>
      <c r="S67" s="333"/>
      <c r="T67" s="331" t="s">
        <v>286</v>
      </c>
    </row>
    <row r="68" spans="3:20" ht="14.25">
      <c r="C68" s="377"/>
      <c r="D68" s="377"/>
      <c r="E68" s="377"/>
      <c r="F68" s="377"/>
      <c r="G68" s="377"/>
      <c r="H68" s="377"/>
      <c r="I68" s="378"/>
      <c r="J68" s="378"/>
      <c r="K68" s="378"/>
      <c r="L68" s="472"/>
      <c r="M68" s="359">
        <v>126</v>
      </c>
      <c r="N68" s="345" t="s">
        <v>417</v>
      </c>
      <c r="O68" s="346"/>
      <c r="P68" s="347"/>
      <c r="Q68" s="348"/>
      <c r="R68" s="349"/>
      <c r="S68" s="350"/>
      <c r="T68" s="347"/>
    </row>
    <row r="69" spans="3:20" ht="14.25">
      <c r="C69" s="377"/>
      <c r="D69" s="377"/>
      <c r="E69" s="377"/>
      <c r="F69" s="377"/>
      <c r="G69" s="377"/>
      <c r="H69" s="377"/>
      <c r="I69" s="378"/>
      <c r="J69" s="378"/>
      <c r="K69" s="378"/>
      <c r="L69" s="472"/>
      <c r="M69" s="328">
        <v>127</v>
      </c>
      <c r="N69" s="337" t="s">
        <v>418</v>
      </c>
      <c r="O69" s="338"/>
      <c r="P69" s="331"/>
      <c r="Q69" s="339"/>
      <c r="R69" s="340"/>
      <c r="S69" s="333" t="s">
        <v>287</v>
      </c>
      <c r="T69" s="331" t="s">
        <v>286</v>
      </c>
    </row>
    <row r="70" spans="3:20" ht="15" thickBot="1">
      <c r="C70" s="377"/>
      <c r="D70" s="377"/>
      <c r="E70" s="377"/>
      <c r="F70" s="377"/>
      <c r="G70" s="377"/>
      <c r="H70" s="377"/>
      <c r="I70" s="378"/>
      <c r="J70" s="378"/>
      <c r="K70" s="378"/>
      <c r="L70" s="473"/>
      <c r="M70" s="351">
        <v>128</v>
      </c>
      <c r="N70" s="352" t="s">
        <v>419</v>
      </c>
      <c r="O70" s="376"/>
      <c r="P70" s="354"/>
      <c r="Q70" s="379"/>
      <c r="R70" s="356"/>
      <c r="S70" s="357" t="s">
        <v>422</v>
      </c>
      <c r="T70" s="354" t="s">
        <v>286</v>
      </c>
    </row>
    <row r="71" spans="9:20" ht="14.25">
      <c r="I71" s="380"/>
      <c r="J71" s="380"/>
      <c r="K71" s="380"/>
      <c r="M71" s="381"/>
      <c r="N71" s="382"/>
      <c r="O71" s="382"/>
      <c r="P71" s="382"/>
      <c r="Q71" s="382"/>
      <c r="R71" s="382"/>
      <c r="S71" s="383"/>
      <c r="T71" s="383"/>
    </row>
    <row r="72" spans="9:20" ht="15" customHeight="1">
      <c r="I72" s="380"/>
      <c r="J72" s="380"/>
      <c r="K72" s="380"/>
      <c r="M72" s="474" t="s">
        <v>420</v>
      </c>
      <c r="N72" s="474"/>
      <c r="O72" s="384">
        <f aca="true" t="shared" si="0" ref="O72:T72">E82+E83</f>
        <v>69</v>
      </c>
      <c r="P72" s="384">
        <f t="shared" si="0"/>
        <v>38</v>
      </c>
      <c r="Q72" s="384">
        <f t="shared" si="0"/>
        <v>37</v>
      </c>
      <c r="R72" s="384">
        <f t="shared" si="0"/>
        <v>29</v>
      </c>
      <c r="S72" s="384">
        <f t="shared" si="0"/>
        <v>79</v>
      </c>
      <c r="T72" s="384">
        <f t="shared" si="0"/>
        <v>30</v>
      </c>
    </row>
    <row r="73" spans="9:20" ht="6" customHeight="1">
      <c r="I73" s="380"/>
      <c r="J73" s="380"/>
      <c r="K73" s="380"/>
      <c r="M73" s="474" t="s">
        <v>421</v>
      </c>
      <c r="N73" s="474"/>
      <c r="O73" s="479">
        <f aca="true" t="shared" si="1" ref="O73:T73">O72/128*100</f>
        <v>53.90625</v>
      </c>
      <c r="P73" s="479">
        <f t="shared" si="1"/>
        <v>29.6875</v>
      </c>
      <c r="Q73" s="479">
        <f t="shared" si="1"/>
        <v>28.90625</v>
      </c>
      <c r="R73" s="479">
        <f t="shared" si="1"/>
        <v>22.65625</v>
      </c>
      <c r="S73" s="479">
        <f t="shared" si="1"/>
        <v>61.71875</v>
      </c>
      <c r="T73" s="479">
        <f t="shared" si="1"/>
        <v>23.4375</v>
      </c>
    </row>
    <row r="74" spans="13:20" ht="7.5" customHeight="1">
      <c r="M74" s="474"/>
      <c r="N74" s="474"/>
      <c r="O74" s="479"/>
      <c r="P74" s="479"/>
      <c r="Q74" s="479"/>
      <c r="R74" s="479"/>
      <c r="S74" s="479"/>
      <c r="T74" s="479"/>
    </row>
    <row r="75" spans="2:13" ht="15.75" customHeight="1">
      <c r="B75" s="385"/>
      <c r="C75" s="386"/>
      <c r="D75" s="386"/>
      <c r="E75" s="386"/>
      <c r="F75" s="386"/>
      <c r="G75" s="386"/>
      <c r="H75" s="386"/>
      <c r="I75" s="386"/>
      <c r="J75" s="386"/>
      <c r="M75" s="319"/>
    </row>
    <row r="76" spans="2:13" ht="9.75" customHeight="1">
      <c r="B76" s="386"/>
      <c r="C76" s="386"/>
      <c r="D76" s="386"/>
      <c r="E76" s="386"/>
      <c r="F76" s="386"/>
      <c r="G76" s="386"/>
      <c r="H76" s="386"/>
      <c r="I76" s="386"/>
      <c r="J76" s="386"/>
      <c r="K76" s="380"/>
      <c r="M76" s="319"/>
    </row>
    <row r="77" spans="2:13" ht="13.5" customHeight="1">
      <c r="B77" s="386"/>
      <c r="C77" s="386"/>
      <c r="D77" s="386"/>
      <c r="E77" s="386"/>
      <c r="F77" s="386"/>
      <c r="G77" s="386"/>
      <c r="H77" s="386"/>
      <c r="I77" s="386"/>
      <c r="J77" s="386"/>
      <c r="K77" s="380"/>
      <c r="M77" s="319"/>
    </row>
    <row r="78" spans="2:13" ht="14.25" customHeight="1">
      <c r="B78" s="386"/>
      <c r="C78" s="386"/>
      <c r="D78" s="386"/>
      <c r="E78" s="386"/>
      <c r="F78" s="386"/>
      <c r="G78" s="386"/>
      <c r="H78" s="386"/>
      <c r="I78" s="386"/>
      <c r="J78" s="386"/>
      <c r="K78" s="380"/>
      <c r="M78" s="319"/>
    </row>
    <row r="79" spans="9:13" ht="13.5">
      <c r="I79" s="380"/>
      <c r="J79" s="380"/>
      <c r="K79" s="380"/>
      <c r="M79" s="319"/>
    </row>
    <row r="80" spans="9:13" ht="13.5">
      <c r="I80" s="380"/>
      <c r="J80" s="380"/>
      <c r="K80" s="380"/>
      <c r="M80" s="319"/>
    </row>
    <row r="81" spans="9:11" s="400" customFormat="1" ht="13.5">
      <c r="I81" s="401"/>
      <c r="J81" s="401"/>
      <c r="K81" s="401"/>
    </row>
    <row r="82" spans="5:11" s="400" customFormat="1" ht="13.5">
      <c r="E82" s="400">
        <f>COUNTIF(E5:E66,"○")</f>
        <v>41</v>
      </c>
      <c r="F82" s="400">
        <f>COUNTIF(F5:F66,"●")</f>
        <v>25</v>
      </c>
      <c r="G82" s="400">
        <f>COUNTIF(G5:G66,"○")</f>
        <v>21</v>
      </c>
      <c r="H82" s="400">
        <f>COUNTIF(H5:H66,"●")</f>
        <v>14</v>
      </c>
      <c r="I82" s="400">
        <f>COUNTIF(I5:I66,"○")</f>
        <v>50</v>
      </c>
      <c r="J82" s="400">
        <f>COUNTIF(J5:J66,"●")</f>
        <v>18</v>
      </c>
      <c r="K82" s="401"/>
    </row>
    <row r="83" spans="5:10" s="400" customFormat="1" ht="13.5">
      <c r="E83" s="400">
        <f>COUNTIF(O5:O70,"○")</f>
        <v>28</v>
      </c>
      <c r="F83" s="400">
        <f>COUNTIF(P5:P70,"●")</f>
        <v>13</v>
      </c>
      <c r="G83" s="400">
        <f>COUNTIF(Q5:Q70,"○")</f>
        <v>16</v>
      </c>
      <c r="H83" s="400">
        <f>COUNTIF(R5:R70,"●")</f>
        <v>15</v>
      </c>
      <c r="I83" s="400">
        <f>COUNTIF(S5:S70,"○")</f>
        <v>29</v>
      </c>
      <c r="J83" s="400">
        <f>COUNTIF(T5:T70,"●")</f>
        <v>12</v>
      </c>
    </row>
    <row r="84" spans="9:11" s="400" customFormat="1" ht="13.5">
      <c r="I84" s="401"/>
      <c r="J84" s="401"/>
      <c r="K84" s="401"/>
    </row>
    <row r="85" spans="9:11" s="400" customFormat="1" ht="13.5">
      <c r="I85" s="401"/>
      <c r="J85" s="401"/>
      <c r="K85" s="401"/>
    </row>
    <row r="86" spans="9:11" s="400" customFormat="1" ht="13.5">
      <c r="I86" s="401"/>
      <c r="J86" s="401"/>
      <c r="K86" s="401"/>
    </row>
    <row r="87" spans="9:13" ht="13.5">
      <c r="I87" s="380"/>
      <c r="J87" s="380"/>
      <c r="K87" s="380"/>
      <c r="M87" s="319"/>
    </row>
    <row r="88" spans="9:13" ht="13.5">
      <c r="I88" s="380"/>
      <c r="J88" s="380"/>
      <c r="K88" s="380"/>
      <c r="M88" s="319"/>
    </row>
    <row r="89" spans="9:13" ht="13.5">
      <c r="I89" s="380"/>
      <c r="J89" s="380"/>
      <c r="K89" s="380"/>
      <c r="M89" s="319"/>
    </row>
    <row r="90" spans="9:11" ht="13.5">
      <c r="I90" s="380"/>
      <c r="J90" s="380"/>
      <c r="K90" s="380"/>
    </row>
    <row r="91" spans="9:11" ht="13.5">
      <c r="I91" s="380"/>
      <c r="J91" s="380"/>
      <c r="K91" s="380"/>
    </row>
    <row r="92" spans="9:11" ht="13.5">
      <c r="I92" s="380"/>
      <c r="J92" s="380"/>
      <c r="K92" s="380"/>
    </row>
    <row r="93" spans="9:11" ht="13.5">
      <c r="I93" s="380"/>
      <c r="J93" s="380"/>
      <c r="K93" s="380"/>
    </row>
    <row r="94" spans="9:11" ht="13.5">
      <c r="I94" s="380"/>
      <c r="J94" s="380"/>
      <c r="K94" s="380"/>
    </row>
    <row r="95" spans="9:11" ht="13.5">
      <c r="I95" s="380"/>
      <c r="J95" s="380"/>
      <c r="K95" s="380"/>
    </row>
    <row r="96" spans="9:11" ht="13.5">
      <c r="I96" s="380"/>
      <c r="J96" s="380"/>
      <c r="K96" s="380"/>
    </row>
    <row r="97" spans="9:11" ht="13.5">
      <c r="I97" s="380"/>
      <c r="J97" s="380"/>
      <c r="K97" s="380"/>
    </row>
    <row r="98" spans="9:11" ht="13.5">
      <c r="I98" s="380"/>
      <c r="J98" s="380"/>
      <c r="K98" s="380"/>
    </row>
    <row r="99" spans="9:11" ht="13.5">
      <c r="I99" s="380"/>
      <c r="J99" s="380"/>
      <c r="K99" s="380"/>
    </row>
    <row r="100" spans="9:11" ht="13.5">
      <c r="I100" s="380"/>
      <c r="J100" s="380"/>
      <c r="K100" s="380"/>
    </row>
    <row r="101" spans="9:11" ht="13.5">
      <c r="I101" s="380"/>
      <c r="J101" s="380"/>
      <c r="K101" s="380"/>
    </row>
    <row r="102" spans="9:11" ht="13.5">
      <c r="I102" s="380"/>
      <c r="J102" s="380"/>
      <c r="K102" s="380"/>
    </row>
    <row r="103" spans="9:11" ht="13.5">
      <c r="I103" s="380"/>
      <c r="J103" s="380"/>
      <c r="K103" s="380"/>
    </row>
    <row r="104" spans="9:11" ht="13.5">
      <c r="I104" s="380"/>
      <c r="J104" s="380"/>
      <c r="K104" s="380"/>
    </row>
    <row r="105" spans="9:11" ht="13.5">
      <c r="I105" s="380"/>
      <c r="J105" s="380"/>
      <c r="K105" s="380"/>
    </row>
    <row r="106" spans="9:11" ht="13.5">
      <c r="I106" s="380"/>
      <c r="J106" s="380"/>
      <c r="K106" s="380"/>
    </row>
    <row r="107" spans="9:11" ht="13.5">
      <c r="I107" s="380"/>
      <c r="J107" s="380"/>
      <c r="K107" s="380"/>
    </row>
    <row r="108" spans="9:11" ht="13.5">
      <c r="I108" s="380"/>
      <c r="J108" s="380"/>
      <c r="K108" s="380"/>
    </row>
  </sheetData>
  <sheetProtection/>
  <mergeCells count="22">
    <mergeCell ref="T73:T74"/>
    <mergeCell ref="L48:L70"/>
    <mergeCell ref="O73:O74"/>
    <mergeCell ref="P73:P74"/>
    <mergeCell ref="Q73:Q74"/>
    <mergeCell ref="R73:R74"/>
    <mergeCell ref="M72:N72"/>
    <mergeCell ref="L5:L40"/>
    <mergeCell ref="M73:N74"/>
    <mergeCell ref="L41:L47"/>
    <mergeCell ref="B52:B66"/>
    <mergeCell ref="B5:B51"/>
    <mergeCell ref="S73:S74"/>
    <mergeCell ref="B1:T1"/>
    <mergeCell ref="O3:P3"/>
    <mergeCell ref="Q3:R3"/>
    <mergeCell ref="S3:T3"/>
    <mergeCell ref="B3:D4"/>
    <mergeCell ref="L3:N4"/>
    <mergeCell ref="E3:F3"/>
    <mergeCell ref="I3:J3"/>
    <mergeCell ref="G3:H3"/>
  </mergeCells>
  <printOptions horizontalCentered="1"/>
  <pageMargins left="0" right="0" top="0.34" bottom="0.1968503937007874" header="0.57" footer="0.1968503937007874"/>
  <pageSetup horizontalDpi="600" verticalDpi="600" orientation="portrait" paperSize="9" scale="80" r:id="rId2"/>
  <headerFooter alignWithMargins="0">
    <oddFooter>&amp;R&amp;"ＭＳ Ｐ明朝,標準"&amp;12平成１８年８月２２日現在</oddFooter>
  </headerFooter>
  <drawing r:id="rId1"/>
</worksheet>
</file>

<file path=xl/worksheets/sheet11.xml><?xml version="1.0" encoding="utf-8"?>
<worksheet xmlns="http://schemas.openxmlformats.org/spreadsheetml/2006/main" xmlns:r="http://schemas.openxmlformats.org/officeDocument/2006/relationships">
  <dimension ref="A1:H23"/>
  <sheetViews>
    <sheetView zoomScalePageLayoutView="0" workbookViewId="0" topLeftCell="A1">
      <selection activeCell="N11" sqref="N11"/>
    </sheetView>
  </sheetViews>
  <sheetFormatPr defaultColWidth="9.00390625" defaultRowHeight="13.5"/>
  <cols>
    <col min="1" max="1" width="9.875" style="388" bestFit="1" customWidth="1"/>
    <col min="2" max="3" width="11.625" style="388" customWidth="1"/>
    <col min="4" max="4" width="11.625" style="381" customWidth="1"/>
    <col min="5" max="6" width="9.125" style="381" customWidth="1"/>
    <col min="7" max="8" width="9.125" style="388" customWidth="1"/>
    <col min="9" max="16384" width="9.00390625" style="388" customWidth="1"/>
  </cols>
  <sheetData>
    <row r="1" spans="1:8" ht="58.5" customHeight="1">
      <c r="A1" s="483" t="s">
        <v>428</v>
      </c>
      <c r="B1" s="483"/>
      <c r="C1" s="483"/>
      <c r="D1" s="483"/>
      <c r="E1" s="483"/>
      <c r="F1" s="483"/>
      <c r="G1" s="483"/>
      <c r="H1" s="483"/>
    </row>
    <row r="2" spans="1:8" s="392" customFormat="1" ht="18.75" customHeight="1">
      <c r="A2" s="486" t="s">
        <v>429</v>
      </c>
      <c r="B2" s="488" t="s">
        <v>430</v>
      </c>
      <c r="C2" s="488" t="s">
        <v>431</v>
      </c>
      <c r="D2" s="487" t="s">
        <v>432</v>
      </c>
      <c r="E2" s="489" t="s">
        <v>433</v>
      </c>
      <c r="F2" s="489"/>
      <c r="G2" s="489"/>
      <c r="H2" s="489"/>
    </row>
    <row r="3" spans="1:8" s="392" customFormat="1" ht="28.5" customHeight="1">
      <c r="A3" s="486"/>
      <c r="B3" s="489"/>
      <c r="C3" s="489"/>
      <c r="D3" s="486"/>
      <c r="E3" s="389" t="s">
        <v>434</v>
      </c>
      <c r="F3" s="389" t="s">
        <v>435</v>
      </c>
      <c r="G3" s="391" t="s">
        <v>436</v>
      </c>
      <c r="H3" s="390" t="s">
        <v>437</v>
      </c>
    </row>
    <row r="4" spans="1:8" s="397" customFormat="1" ht="39.75" customHeight="1">
      <c r="A4" s="393" t="s">
        <v>438</v>
      </c>
      <c r="B4" s="394" t="s">
        <v>439</v>
      </c>
      <c r="C4" s="395" t="s">
        <v>440</v>
      </c>
      <c r="D4" s="396" t="s">
        <v>441</v>
      </c>
      <c r="E4" s="396" t="s">
        <v>442</v>
      </c>
      <c r="F4" s="396" t="s">
        <v>426</v>
      </c>
      <c r="G4" s="394" t="s">
        <v>442</v>
      </c>
      <c r="H4" s="394" t="s">
        <v>426</v>
      </c>
    </row>
    <row r="5" spans="1:8" s="397" customFormat="1" ht="39.75" customHeight="1">
      <c r="A5" s="393" t="s">
        <v>443</v>
      </c>
      <c r="B5" s="394" t="s">
        <v>439</v>
      </c>
      <c r="C5" s="395" t="s">
        <v>440</v>
      </c>
      <c r="D5" s="396" t="s">
        <v>441</v>
      </c>
      <c r="E5" s="396" t="s">
        <v>442</v>
      </c>
      <c r="F5" s="396" t="s">
        <v>442</v>
      </c>
      <c r="G5" s="394" t="s">
        <v>426</v>
      </c>
      <c r="H5" s="394" t="s">
        <v>426</v>
      </c>
    </row>
    <row r="6" spans="1:8" s="397" customFormat="1" ht="39.75" customHeight="1">
      <c r="A6" s="393" t="s">
        <v>444</v>
      </c>
      <c r="B6" s="394" t="s">
        <v>445</v>
      </c>
      <c r="C6" s="395" t="s">
        <v>440</v>
      </c>
      <c r="D6" s="396" t="s">
        <v>441</v>
      </c>
      <c r="E6" s="396" t="s">
        <v>442</v>
      </c>
      <c r="F6" s="396" t="s">
        <v>442</v>
      </c>
      <c r="G6" s="394" t="s">
        <v>426</v>
      </c>
      <c r="H6" s="394" t="s">
        <v>426</v>
      </c>
    </row>
    <row r="7" spans="1:8" s="397" customFormat="1" ht="39.75" customHeight="1">
      <c r="A7" s="393" t="s">
        <v>446</v>
      </c>
      <c r="B7" s="394" t="s">
        <v>447</v>
      </c>
      <c r="C7" s="394" t="s">
        <v>448</v>
      </c>
      <c r="D7" s="396" t="s">
        <v>441</v>
      </c>
      <c r="E7" s="396" t="s">
        <v>442</v>
      </c>
      <c r="F7" s="396" t="s">
        <v>442</v>
      </c>
      <c r="G7" s="394" t="s">
        <v>442</v>
      </c>
      <c r="H7" s="394" t="s">
        <v>442</v>
      </c>
    </row>
    <row r="8" spans="1:8" s="397" customFormat="1" ht="39.75" customHeight="1">
      <c r="A8" s="393" t="s">
        <v>449</v>
      </c>
      <c r="B8" s="394" t="s">
        <v>439</v>
      </c>
      <c r="C8" s="395" t="s">
        <v>440</v>
      </c>
      <c r="D8" s="396" t="s">
        <v>450</v>
      </c>
      <c r="E8" s="396" t="s">
        <v>422</v>
      </c>
      <c r="F8" s="396" t="s">
        <v>422</v>
      </c>
      <c r="G8" s="394" t="s">
        <v>422</v>
      </c>
      <c r="H8" s="394" t="s">
        <v>422</v>
      </c>
    </row>
    <row r="9" spans="1:8" s="397" customFormat="1" ht="39.75" customHeight="1">
      <c r="A9" s="393" t="s">
        <v>451</v>
      </c>
      <c r="B9" s="395" t="s">
        <v>440</v>
      </c>
      <c r="C9" s="395" t="s">
        <v>440</v>
      </c>
      <c r="D9" s="396" t="s">
        <v>441</v>
      </c>
      <c r="E9" s="396" t="s">
        <v>442</v>
      </c>
      <c r="F9" s="396" t="s">
        <v>426</v>
      </c>
      <c r="G9" s="394" t="s">
        <v>426</v>
      </c>
      <c r="H9" s="394" t="s">
        <v>426</v>
      </c>
    </row>
    <row r="10" spans="1:8" s="397" customFormat="1" ht="39.75" customHeight="1">
      <c r="A10" s="393" t="s">
        <v>452</v>
      </c>
      <c r="B10" s="394" t="s">
        <v>439</v>
      </c>
      <c r="C10" s="394" t="s">
        <v>448</v>
      </c>
      <c r="D10" s="396" t="s">
        <v>441</v>
      </c>
      <c r="E10" s="396" t="s">
        <v>442</v>
      </c>
      <c r="F10" s="396" t="s">
        <v>426</v>
      </c>
      <c r="G10" s="394" t="s">
        <v>442</v>
      </c>
      <c r="H10" s="394" t="s">
        <v>426</v>
      </c>
    </row>
    <row r="11" spans="1:8" s="397" customFormat="1" ht="39.75" customHeight="1">
      <c r="A11" s="393" t="s">
        <v>453</v>
      </c>
      <c r="B11" s="394" t="s">
        <v>445</v>
      </c>
      <c r="C11" s="395" t="s">
        <v>440</v>
      </c>
      <c r="D11" s="396" t="s">
        <v>441</v>
      </c>
      <c r="E11" s="396" t="s">
        <v>442</v>
      </c>
      <c r="F11" s="396" t="s">
        <v>442</v>
      </c>
      <c r="G11" s="394" t="s">
        <v>442</v>
      </c>
      <c r="H11" s="394" t="s">
        <v>426</v>
      </c>
    </row>
    <row r="12" spans="1:8" s="397" customFormat="1" ht="39.75" customHeight="1">
      <c r="A12" s="393" t="s">
        <v>454</v>
      </c>
      <c r="B12" s="394" t="s">
        <v>439</v>
      </c>
      <c r="C12" s="395" t="s">
        <v>440</v>
      </c>
      <c r="D12" s="396" t="s">
        <v>441</v>
      </c>
      <c r="E12" s="396" t="s">
        <v>442</v>
      </c>
      <c r="F12" s="396" t="s">
        <v>442</v>
      </c>
      <c r="G12" s="394" t="s">
        <v>442</v>
      </c>
      <c r="H12" s="394" t="s">
        <v>426</v>
      </c>
    </row>
    <row r="13" spans="1:8" s="397" customFormat="1" ht="39.75" customHeight="1">
      <c r="A13" s="393" t="s">
        <v>455</v>
      </c>
      <c r="B13" s="394" t="s">
        <v>439</v>
      </c>
      <c r="C13" s="394" t="s">
        <v>448</v>
      </c>
      <c r="D13" s="396" t="s">
        <v>456</v>
      </c>
      <c r="E13" s="396" t="s">
        <v>422</v>
      </c>
      <c r="F13" s="396" t="s">
        <v>422</v>
      </c>
      <c r="G13" s="394" t="s">
        <v>426</v>
      </c>
      <c r="H13" s="394" t="s">
        <v>426</v>
      </c>
    </row>
    <row r="14" spans="1:8" s="397" customFormat="1" ht="39.75" customHeight="1">
      <c r="A14" s="393" t="s">
        <v>390</v>
      </c>
      <c r="B14" s="395" t="s">
        <v>440</v>
      </c>
      <c r="C14" s="395" t="s">
        <v>440</v>
      </c>
      <c r="D14" s="480"/>
      <c r="E14" s="396" t="s">
        <v>457</v>
      </c>
      <c r="F14" s="396" t="s">
        <v>426</v>
      </c>
      <c r="G14" s="394" t="s">
        <v>426</v>
      </c>
      <c r="H14" s="394" t="s">
        <v>426</v>
      </c>
    </row>
    <row r="15" spans="1:8" s="397" customFormat="1" ht="39.75" customHeight="1">
      <c r="A15" s="393" t="s">
        <v>458</v>
      </c>
      <c r="B15" s="394" t="s">
        <v>445</v>
      </c>
      <c r="C15" s="395" t="s">
        <v>440</v>
      </c>
      <c r="D15" s="481"/>
      <c r="E15" s="396" t="s">
        <v>457</v>
      </c>
      <c r="F15" s="396" t="s">
        <v>457</v>
      </c>
      <c r="G15" s="394" t="s">
        <v>426</v>
      </c>
      <c r="H15" s="394" t="s">
        <v>457</v>
      </c>
    </row>
    <row r="16" spans="1:8" s="397" customFormat="1" ht="39.75" customHeight="1">
      <c r="A16" s="393" t="s">
        <v>459</v>
      </c>
      <c r="B16" s="394" t="s">
        <v>439</v>
      </c>
      <c r="C16" s="395" t="s">
        <v>440</v>
      </c>
      <c r="D16" s="481"/>
      <c r="E16" s="396" t="s">
        <v>457</v>
      </c>
      <c r="F16" s="396" t="s">
        <v>457</v>
      </c>
      <c r="G16" s="394" t="s">
        <v>457</v>
      </c>
      <c r="H16" s="394" t="s">
        <v>457</v>
      </c>
    </row>
    <row r="17" spans="1:8" s="397" customFormat="1" ht="39.75" customHeight="1">
      <c r="A17" s="393" t="s">
        <v>460</v>
      </c>
      <c r="B17" s="394" t="s">
        <v>461</v>
      </c>
      <c r="C17" s="394" t="s">
        <v>427</v>
      </c>
      <c r="D17" s="481"/>
      <c r="E17" s="396" t="s">
        <v>422</v>
      </c>
      <c r="F17" s="396" t="s">
        <v>422</v>
      </c>
      <c r="G17" s="394" t="s">
        <v>422</v>
      </c>
      <c r="H17" s="394" t="s">
        <v>422</v>
      </c>
    </row>
    <row r="18" spans="1:8" s="397" customFormat="1" ht="39.75" customHeight="1">
      <c r="A18" s="393" t="s">
        <v>462</v>
      </c>
      <c r="B18" s="394" t="s">
        <v>439</v>
      </c>
      <c r="C18" s="395" t="s">
        <v>440</v>
      </c>
      <c r="D18" s="481"/>
      <c r="E18" s="396" t="s">
        <v>457</v>
      </c>
      <c r="F18" s="396" t="s">
        <v>457</v>
      </c>
      <c r="G18" s="394" t="s">
        <v>457</v>
      </c>
      <c r="H18" s="394" t="s">
        <v>426</v>
      </c>
    </row>
    <row r="19" spans="1:8" s="397" customFormat="1" ht="45" customHeight="1">
      <c r="A19" s="393" t="s">
        <v>463</v>
      </c>
      <c r="B19" s="394" t="s">
        <v>439</v>
      </c>
      <c r="C19" s="395" t="s">
        <v>440</v>
      </c>
      <c r="D19" s="482"/>
      <c r="E19" s="396" t="s">
        <v>457</v>
      </c>
      <c r="F19" s="396" t="s">
        <v>457</v>
      </c>
      <c r="G19" s="394" t="s">
        <v>457</v>
      </c>
      <c r="H19" s="394" t="s">
        <v>426</v>
      </c>
    </row>
    <row r="20" spans="1:8" s="397" customFormat="1" ht="36.75" customHeight="1">
      <c r="A20" s="484"/>
      <c r="B20" s="485"/>
      <c r="C20" s="485"/>
      <c r="D20" s="485"/>
      <c r="E20" s="485"/>
      <c r="F20" s="485"/>
      <c r="G20" s="485"/>
      <c r="H20" s="485"/>
    </row>
    <row r="21" spans="1:6" s="399" customFormat="1" ht="14.25">
      <c r="A21" s="398"/>
      <c r="D21" s="398"/>
      <c r="E21" s="398"/>
      <c r="F21" s="398"/>
    </row>
    <row r="22" spans="1:6" s="399" customFormat="1" ht="14.25">
      <c r="A22" s="398"/>
      <c r="D22" s="398"/>
      <c r="E22" s="398"/>
      <c r="F22" s="398"/>
    </row>
    <row r="23" spans="1:6" s="399" customFormat="1" ht="33" customHeight="1">
      <c r="A23" s="398"/>
      <c r="D23" s="398"/>
      <c r="E23" s="398"/>
      <c r="F23" s="398"/>
    </row>
  </sheetData>
  <sheetProtection/>
  <mergeCells count="8">
    <mergeCell ref="D14:D19"/>
    <mergeCell ref="A1:H1"/>
    <mergeCell ref="A20:H20"/>
    <mergeCell ref="A2:A3"/>
    <mergeCell ref="D2:D3"/>
    <mergeCell ref="B2:B3"/>
    <mergeCell ref="C2:C3"/>
    <mergeCell ref="E2:H2"/>
  </mergeCells>
  <printOptions horizontalCentered="1"/>
  <pageMargins left="0.7874015748031497" right="0.7874015748031497" top="0.984251968503937" bottom="0.984251968503937" header="0.5118110236220472" footer="0.5118110236220472"/>
  <pageSetup horizontalDpi="300" verticalDpi="300" orientation="portrait" paperSize="9" scale="99" r:id="rId1"/>
  <rowBreaks count="1" manualBreakCount="1">
    <brk id="20" max="255" man="1"/>
  </rowBreaks>
</worksheet>
</file>

<file path=xl/worksheets/sheet2.xml><?xml version="1.0" encoding="utf-8"?>
<worksheet xmlns="http://schemas.openxmlformats.org/spreadsheetml/2006/main" xmlns:r="http://schemas.openxmlformats.org/officeDocument/2006/relationships">
  <dimension ref="A1:A48"/>
  <sheetViews>
    <sheetView zoomScalePageLayoutView="0" workbookViewId="0" topLeftCell="A1">
      <selection activeCell="A1" sqref="A1"/>
    </sheetView>
  </sheetViews>
  <sheetFormatPr defaultColWidth="9.00390625" defaultRowHeight="13.5"/>
  <cols>
    <col min="1" max="1" width="115.00390625" style="0" customWidth="1"/>
  </cols>
  <sheetData>
    <row r="1" ht="14.25">
      <c r="A1" s="1"/>
    </row>
    <row r="2" ht="13.5">
      <c r="A2" s="2">
        <v>38951</v>
      </c>
    </row>
    <row r="3" ht="13.5">
      <c r="A3" s="3"/>
    </row>
    <row r="4" ht="13.5">
      <c r="A4" s="5" t="s">
        <v>0</v>
      </c>
    </row>
    <row r="5" ht="13.5">
      <c r="A5" s="3"/>
    </row>
    <row r="6" ht="25.5">
      <c r="A6" s="3" t="s">
        <v>1</v>
      </c>
    </row>
    <row r="7" ht="13.5">
      <c r="A7" s="3"/>
    </row>
    <row r="8" ht="25.5">
      <c r="A8" s="3" t="s">
        <v>2</v>
      </c>
    </row>
    <row r="9" ht="13.5">
      <c r="A9" s="3" t="s">
        <v>3</v>
      </c>
    </row>
    <row r="10" ht="38.25">
      <c r="A10" s="3" t="s">
        <v>4</v>
      </c>
    </row>
    <row r="11" ht="13.5">
      <c r="A11" s="3"/>
    </row>
    <row r="12" ht="13.5">
      <c r="A12" s="3" t="s">
        <v>5</v>
      </c>
    </row>
    <row r="13" ht="13.5">
      <c r="A13" s="3"/>
    </row>
    <row r="14" ht="25.5">
      <c r="A14" s="3" t="s">
        <v>6</v>
      </c>
    </row>
    <row r="15" ht="13.5">
      <c r="A15" s="3"/>
    </row>
    <row r="16" ht="13.5">
      <c r="A16" s="3" t="s">
        <v>7</v>
      </c>
    </row>
    <row r="17" ht="13.5">
      <c r="A17" s="3"/>
    </row>
    <row r="18" ht="25.5">
      <c r="A18" s="3" t="s">
        <v>8</v>
      </c>
    </row>
    <row r="19" ht="13.5">
      <c r="A19" s="3"/>
    </row>
    <row r="20" ht="13.5">
      <c r="A20" s="3" t="s">
        <v>9</v>
      </c>
    </row>
    <row r="21" ht="25.5">
      <c r="A21" s="3" t="s">
        <v>10</v>
      </c>
    </row>
    <row r="22" ht="13.5">
      <c r="A22" s="3" t="s">
        <v>11</v>
      </c>
    </row>
    <row r="23" ht="13.5">
      <c r="A23" s="3" t="s">
        <v>12</v>
      </c>
    </row>
    <row r="24" ht="13.5">
      <c r="A24" s="3" t="s">
        <v>13</v>
      </c>
    </row>
    <row r="25" ht="13.5">
      <c r="A25" s="3"/>
    </row>
    <row r="26" ht="13.5">
      <c r="A26" s="6" t="s">
        <v>28</v>
      </c>
    </row>
    <row r="27" ht="13.5">
      <c r="A27" s="7" t="s">
        <v>29</v>
      </c>
    </row>
    <row r="28" ht="25.5">
      <c r="A28" s="3" t="s">
        <v>14</v>
      </c>
    </row>
    <row r="29" ht="13.5">
      <c r="A29" s="3"/>
    </row>
    <row r="30" ht="25.5">
      <c r="A30" s="3" t="s">
        <v>15</v>
      </c>
    </row>
    <row r="31" ht="25.5">
      <c r="A31" s="3" t="s">
        <v>16</v>
      </c>
    </row>
    <row r="32" ht="13.5">
      <c r="A32" s="3"/>
    </row>
    <row r="33" ht="13.5">
      <c r="A33" s="3" t="s">
        <v>17</v>
      </c>
    </row>
    <row r="34" ht="25.5">
      <c r="A34" s="3" t="s">
        <v>18</v>
      </c>
    </row>
    <row r="35" ht="13.5">
      <c r="A35" s="3"/>
    </row>
    <row r="36" ht="13.5">
      <c r="A36" s="3" t="s">
        <v>19</v>
      </c>
    </row>
    <row r="37" ht="13.5">
      <c r="A37" s="3" t="s">
        <v>20</v>
      </c>
    </row>
    <row r="38" ht="13.5">
      <c r="A38" s="3"/>
    </row>
    <row r="39" ht="13.5">
      <c r="A39" s="3" t="s">
        <v>21</v>
      </c>
    </row>
    <row r="40" ht="13.5">
      <c r="A40" s="3" t="s">
        <v>22</v>
      </c>
    </row>
    <row r="41" ht="13.5">
      <c r="A41" s="3" t="s">
        <v>23</v>
      </c>
    </row>
    <row r="42" ht="13.5">
      <c r="A42" s="3"/>
    </row>
    <row r="43" ht="13.5">
      <c r="A43" s="6" t="s">
        <v>24</v>
      </c>
    </row>
    <row r="44" ht="13.5">
      <c r="A44" s="6" t="s">
        <v>25</v>
      </c>
    </row>
    <row r="45" ht="13.5">
      <c r="A45" s="6" t="s">
        <v>26</v>
      </c>
    </row>
    <row r="46" ht="13.5">
      <c r="A46" s="3"/>
    </row>
    <row r="47" ht="13.5">
      <c r="A47" s="8" t="s">
        <v>27</v>
      </c>
    </row>
    <row r="48" ht="13.5">
      <c r="A48" s="3"/>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X42"/>
  <sheetViews>
    <sheetView tabSelected="1" zoomScaleSheetLayoutView="75" zoomScalePageLayoutView="0" workbookViewId="0" topLeftCell="A1">
      <selection activeCell="A1" sqref="A1"/>
    </sheetView>
  </sheetViews>
  <sheetFormatPr defaultColWidth="9.00390625" defaultRowHeight="13.5"/>
  <cols>
    <col min="1" max="1" width="11.25390625" style="20" customWidth="1"/>
    <col min="2" max="2" width="8.625" style="20" customWidth="1"/>
    <col min="3" max="3" width="17.625" style="20" customWidth="1"/>
    <col min="4" max="4" width="1.875" style="0" customWidth="1"/>
    <col min="5" max="5" width="5.625" style="20" customWidth="1"/>
    <col min="6" max="6" width="5.125" style="0" customWidth="1"/>
    <col min="7" max="7" width="5.625" style="20" customWidth="1"/>
    <col min="8" max="8" width="5.125" style="0" customWidth="1"/>
    <col min="9" max="9" width="5.625" style="20" customWidth="1"/>
    <col min="10" max="10" width="5.125" style="0" customWidth="1"/>
    <col min="11" max="11" width="1.875" style="0" customWidth="1"/>
    <col min="12" max="12" width="5.625" style="20" customWidth="1"/>
    <col min="13" max="13" width="5.125" style="0" customWidth="1"/>
    <col min="14" max="14" width="5.625" style="20" customWidth="1"/>
    <col min="15" max="15" width="5.125" style="0" customWidth="1"/>
    <col min="16" max="16" width="5.625" style="20" customWidth="1"/>
    <col min="17" max="17" width="5.125" style="0" customWidth="1"/>
    <col min="18" max="18" width="1.875" style="0" customWidth="1"/>
    <col min="19" max="19" width="5.625" style="20" customWidth="1"/>
    <col min="20" max="20" width="5.125" style="0" customWidth="1"/>
    <col min="21" max="21" width="5.625" style="20" customWidth="1"/>
    <col min="22" max="22" width="5.125" style="0" customWidth="1"/>
    <col min="23" max="23" width="5.625" style="20" customWidth="1"/>
    <col min="24" max="24" width="5.125" style="0" customWidth="1"/>
  </cols>
  <sheetData>
    <row r="1" spans="1:24" s="13" customFormat="1" ht="27" customHeight="1">
      <c r="A1" s="9" t="s">
        <v>30</v>
      </c>
      <c r="B1" s="10"/>
      <c r="C1" s="11"/>
      <c r="D1" s="11"/>
      <c r="E1" s="11"/>
      <c r="F1" s="11"/>
      <c r="G1" s="11"/>
      <c r="H1" s="11"/>
      <c r="I1" s="11"/>
      <c r="J1" s="11"/>
      <c r="K1" s="11"/>
      <c r="L1" s="11"/>
      <c r="M1" s="11"/>
      <c r="N1" s="11"/>
      <c r="O1"/>
      <c r="P1" s="12"/>
      <c r="Q1" s="11"/>
      <c r="R1" s="12"/>
      <c r="S1" s="12"/>
      <c r="T1" s="12"/>
      <c r="U1" s="11"/>
      <c r="V1" s="11"/>
      <c r="W1" s="11"/>
      <c r="X1" s="11"/>
    </row>
    <row r="2" spans="1:24" s="13" customFormat="1" ht="16.5" customHeight="1">
      <c r="A2" s="14" t="s">
        <v>64</v>
      </c>
      <c r="B2" s="15"/>
      <c r="C2" s="16"/>
      <c r="D2" s="16"/>
      <c r="E2" s="16"/>
      <c r="F2" s="16"/>
      <c r="G2" s="16"/>
      <c r="H2" s="16"/>
      <c r="I2" s="16"/>
      <c r="J2" s="16"/>
      <c r="K2" s="16"/>
      <c r="L2" s="16"/>
      <c r="M2" s="16"/>
      <c r="N2" s="16"/>
      <c r="O2"/>
      <c r="P2" s="16"/>
      <c r="Q2" s="16"/>
      <c r="R2" s="16"/>
      <c r="S2" s="16"/>
      <c r="T2" s="16"/>
      <c r="U2" s="16"/>
      <c r="V2" s="16"/>
      <c r="W2" s="16"/>
      <c r="X2" s="17"/>
    </row>
    <row r="3" spans="1:23" s="20" customFormat="1" ht="18" thickBot="1">
      <c r="A3" s="18" t="s">
        <v>31</v>
      </c>
      <c r="B3" s="19"/>
      <c r="C3" s="19"/>
      <c r="D3" s="19"/>
      <c r="E3" s="19"/>
      <c r="F3" s="19"/>
      <c r="G3" s="19"/>
      <c r="H3" s="19"/>
      <c r="I3" s="19"/>
      <c r="J3" s="19"/>
      <c r="K3" s="19"/>
      <c r="L3" s="19"/>
      <c r="M3" s="19"/>
      <c r="N3" s="19"/>
      <c r="O3" s="19"/>
      <c r="P3" s="19"/>
      <c r="Q3" s="19"/>
      <c r="R3" s="19"/>
      <c r="S3" s="19"/>
      <c r="T3" s="19"/>
      <c r="U3" s="19"/>
      <c r="V3" s="19"/>
      <c r="W3" s="19"/>
    </row>
    <row r="4" spans="1:24" s="20" customFormat="1" ht="14.25" thickTop="1">
      <c r="A4" s="21" t="s">
        <v>32</v>
      </c>
      <c r="B4" s="21"/>
      <c r="C4" s="21"/>
      <c r="D4" s="21"/>
      <c r="E4" s="22" t="s">
        <v>33</v>
      </c>
      <c r="F4" s="22"/>
      <c r="G4" s="22"/>
      <c r="H4" s="22"/>
      <c r="I4" s="22"/>
      <c r="J4" s="22"/>
      <c r="K4" s="21"/>
      <c r="L4" s="22" t="s">
        <v>34</v>
      </c>
      <c r="M4" s="22"/>
      <c r="N4" s="22"/>
      <c r="O4" s="22"/>
      <c r="P4" s="22"/>
      <c r="Q4" s="22"/>
      <c r="R4" s="21"/>
      <c r="S4" s="22" t="s">
        <v>35</v>
      </c>
      <c r="T4" s="22"/>
      <c r="U4" s="22"/>
      <c r="V4" s="22"/>
      <c r="W4" s="22"/>
      <c r="X4" s="23"/>
    </row>
    <row r="5" spans="1:24" s="20" customFormat="1" ht="13.5">
      <c r="A5" s="24"/>
      <c r="B5" s="25"/>
      <c r="C5" s="24"/>
      <c r="D5" s="24"/>
      <c r="E5" s="26" t="s">
        <v>36</v>
      </c>
      <c r="F5" s="26"/>
      <c r="G5" s="26" t="s">
        <v>37</v>
      </c>
      <c r="H5" s="26"/>
      <c r="I5" s="26" t="s">
        <v>38</v>
      </c>
      <c r="J5" s="26"/>
      <c r="K5" s="24"/>
      <c r="L5" s="26" t="s">
        <v>36</v>
      </c>
      <c r="M5" s="26"/>
      <c r="N5" s="26" t="s">
        <v>37</v>
      </c>
      <c r="O5" s="26"/>
      <c r="P5" s="26" t="s">
        <v>38</v>
      </c>
      <c r="Q5" s="26"/>
      <c r="R5" s="24"/>
      <c r="S5" s="26" t="s">
        <v>36</v>
      </c>
      <c r="T5" s="26"/>
      <c r="U5" s="26" t="s">
        <v>37</v>
      </c>
      <c r="V5" s="26"/>
      <c r="W5" s="26" t="s">
        <v>38</v>
      </c>
      <c r="X5" s="26"/>
    </row>
    <row r="6" spans="1:24" s="4" customFormat="1" ht="14.25" thickBot="1">
      <c r="A6" s="27"/>
      <c r="B6" s="27" t="s">
        <v>39</v>
      </c>
      <c r="C6" s="27" t="s">
        <v>40</v>
      </c>
      <c r="D6" s="28"/>
      <c r="E6" s="29" t="s">
        <v>41</v>
      </c>
      <c r="F6" s="30" t="s">
        <v>42</v>
      </c>
      <c r="G6" s="29" t="s">
        <v>41</v>
      </c>
      <c r="H6" s="30" t="s">
        <v>42</v>
      </c>
      <c r="I6" s="29" t="s">
        <v>41</v>
      </c>
      <c r="J6" s="30" t="s">
        <v>42</v>
      </c>
      <c r="K6" s="28"/>
      <c r="L6" s="29" t="s">
        <v>41</v>
      </c>
      <c r="M6" s="30" t="s">
        <v>42</v>
      </c>
      <c r="N6" s="29" t="s">
        <v>41</v>
      </c>
      <c r="O6" s="30" t="s">
        <v>42</v>
      </c>
      <c r="P6" s="29" t="s">
        <v>41</v>
      </c>
      <c r="Q6" s="30" t="s">
        <v>42</v>
      </c>
      <c r="R6" s="28"/>
      <c r="S6" s="29" t="s">
        <v>41</v>
      </c>
      <c r="T6" s="30" t="s">
        <v>42</v>
      </c>
      <c r="U6" s="29" t="s">
        <v>41</v>
      </c>
      <c r="V6" s="30" t="s">
        <v>42</v>
      </c>
      <c r="W6" s="29" t="s">
        <v>41</v>
      </c>
      <c r="X6" s="30" t="s">
        <v>42</v>
      </c>
    </row>
    <row r="7" spans="1:24" s="4" customFormat="1" ht="18" customHeight="1" thickBot="1" thickTop="1">
      <c r="A7" s="31" t="s">
        <v>43</v>
      </c>
      <c r="B7" s="32" t="s">
        <v>35</v>
      </c>
      <c r="C7" s="33"/>
      <c r="D7" s="34"/>
      <c r="E7" s="35">
        <f>SUM(E8:E13)</f>
        <v>201</v>
      </c>
      <c r="F7" s="36">
        <v>153</v>
      </c>
      <c r="G7" s="35">
        <f>SUM(G8:G13)</f>
        <v>9</v>
      </c>
      <c r="H7" s="36">
        <v>14</v>
      </c>
      <c r="I7" s="35">
        <f>SUM(I8:I13)</f>
        <v>210</v>
      </c>
      <c r="J7" s="36">
        <v>167</v>
      </c>
      <c r="K7" s="35"/>
      <c r="L7" s="35">
        <f>SUM(L8:L13)</f>
        <v>25</v>
      </c>
      <c r="M7" s="36">
        <v>21</v>
      </c>
      <c r="N7" s="35">
        <f>SUM(N8:N13)</f>
        <v>13</v>
      </c>
      <c r="O7" s="36">
        <v>10</v>
      </c>
      <c r="P7" s="35">
        <f>SUM(P8:P13)</f>
        <v>38</v>
      </c>
      <c r="Q7" s="36">
        <v>31</v>
      </c>
      <c r="R7" s="35"/>
      <c r="S7" s="35">
        <f>SUM(S8:S13)</f>
        <v>226</v>
      </c>
      <c r="T7" s="36">
        <v>174</v>
      </c>
      <c r="U7" s="35">
        <f>SUM(U8:U13)</f>
        <v>22</v>
      </c>
      <c r="V7" s="36">
        <v>24</v>
      </c>
      <c r="W7" s="35">
        <f>SUM(W8:W13)</f>
        <v>248</v>
      </c>
      <c r="X7" s="36">
        <v>198</v>
      </c>
    </row>
    <row r="8" spans="2:24" ht="15.75" customHeight="1">
      <c r="B8" s="20" t="s">
        <v>44</v>
      </c>
      <c r="C8" s="20" t="s">
        <v>45</v>
      </c>
      <c r="E8" s="37">
        <v>29</v>
      </c>
      <c r="F8" s="38">
        <v>22</v>
      </c>
      <c r="G8" s="37">
        <v>7</v>
      </c>
      <c r="H8" s="38">
        <v>11</v>
      </c>
      <c r="I8" s="39">
        <f aca="true" t="shared" si="0" ref="I8:I23">E8+G8</f>
        <v>36</v>
      </c>
      <c r="J8" s="40">
        <v>33</v>
      </c>
      <c r="K8" s="41"/>
      <c r="L8" s="37">
        <v>8</v>
      </c>
      <c r="M8" s="38">
        <v>7</v>
      </c>
      <c r="N8" s="37">
        <v>9</v>
      </c>
      <c r="O8" s="38">
        <v>7</v>
      </c>
      <c r="P8" s="42">
        <f aca="true" t="shared" si="1" ref="P8:P23">L8+N8</f>
        <v>17</v>
      </c>
      <c r="Q8" s="40">
        <v>14</v>
      </c>
      <c r="R8" s="43"/>
      <c r="S8" s="42">
        <f aca="true" t="shared" si="2" ref="S8:S23">E8+L8</f>
        <v>37</v>
      </c>
      <c r="T8" s="40">
        <v>29</v>
      </c>
      <c r="U8" s="42">
        <f aca="true" t="shared" si="3" ref="U8:U23">G8+N8</f>
        <v>16</v>
      </c>
      <c r="V8" s="40">
        <v>18</v>
      </c>
      <c r="W8" s="42">
        <f aca="true" t="shared" si="4" ref="W8:W23">S8+U8</f>
        <v>53</v>
      </c>
      <c r="X8" s="40">
        <v>47</v>
      </c>
    </row>
    <row r="9" spans="3:24" ht="15.75" customHeight="1">
      <c r="C9" s="20" t="s">
        <v>46</v>
      </c>
      <c r="E9" s="37">
        <v>152</v>
      </c>
      <c r="F9" s="38">
        <v>118</v>
      </c>
      <c r="G9" s="37">
        <v>0</v>
      </c>
      <c r="H9" s="38">
        <v>0</v>
      </c>
      <c r="I9" s="42">
        <f t="shared" si="0"/>
        <v>152</v>
      </c>
      <c r="J9" s="40">
        <v>118</v>
      </c>
      <c r="K9" s="43"/>
      <c r="L9" s="37">
        <v>8</v>
      </c>
      <c r="M9" s="38">
        <v>9</v>
      </c>
      <c r="N9" s="37">
        <v>0</v>
      </c>
      <c r="O9" s="38">
        <v>0</v>
      </c>
      <c r="P9" s="42">
        <f t="shared" si="1"/>
        <v>8</v>
      </c>
      <c r="Q9" s="40">
        <v>9</v>
      </c>
      <c r="R9" s="43"/>
      <c r="S9" s="42">
        <f t="shared" si="2"/>
        <v>160</v>
      </c>
      <c r="T9" s="40">
        <v>127</v>
      </c>
      <c r="U9" s="42">
        <f t="shared" si="3"/>
        <v>0</v>
      </c>
      <c r="V9" s="40">
        <v>0</v>
      </c>
      <c r="W9" s="42">
        <f t="shared" si="4"/>
        <v>160</v>
      </c>
      <c r="X9" s="40">
        <v>127</v>
      </c>
    </row>
    <row r="10" spans="3:24" ht="15.75" customHeight="1">
      <c r="C10" s="20" t="s">
        <v>47</v>
      </c>
      <c r="E10" s="37">
        <v>1</v>
      </c>
      <c r="F10" s="38">
        <v>0</v>
      </c>
      <c r="G10" s="37">
        <v>0</v>
      </c>
      <c r="H10" s="38">
        <v>0</v>
      </c>
      <c r="I10" s="42">
        <f t="shared" si="0"/>
        <v>1</v>
      </c>
      <c r="J10" s="40">
        <v>0</v>
      </c>
      <c r="K10" s="43"/>
      <c r="L10" s="37">
        <v>0</v>
      </c>
      <c r="M10" s="38">
        <v>2</v>
      </c>
      <c r="N10" s="37">
        <v>0</v>
      </c>
      <c r="O10" s="38">
        <v>0</v>
      </c>
      <c r="P10" s="42">
        <f t="shared" si="1"/>
        <v>0</v>
      </c>
      <c r="Q10" s="40">
        <v>2</v>
      </c>
      <c r="R10" s="43"/>
      <c r="S10" s="42">
        <f t="shared" si="2"/>
        <v>1</v>
      </c>
      <c r="T10" s="40">
        <v>2</v>
      </c>
      <c r="U10" s="42">
        <f t="shared" si="3"/>
        <v>0</v>
      </c>
      <c r="V10" s="40">
        <v>0</v>
      </c>
      <c r="W10" s="42">
        <f t="shared" si="4"/>
        <v>1</v>
      </c>
      <c r="X10" s="40">
        <v>2</v>
      </c>
    </row>
    <row r="11" spans="3:24" ht="15.75" customHeight="1">
      <c r="C11" s="20" t="s">
        <v>48</v>
      </c>
      <c r="E11" s="37">
        <v>0</v>
      </c>
      <c r="F11" s="38">
        <v>0</v>
      </c>
      <c r="G11" s="37">
        <v>1</v>
      </c>
      <c r="H11" s="38">
        <v>0</v>
      </c>
      <c r="I11" s="42">
        <f t="shared" si="0"/>
        <v>1</v>
      </c>
      <c r="J11" s="40">
        <v>0</v>
      </c>
      <c r="K11" s="43"/>
      <c r="L11" s="37">
        <v>0</v>
      </c>
      <c r="M11" s="38">
        <v>0</v>
      </c>
      <c r="N11" s="37">
        <v>0</v>
      </c>
      <c r="O11" s="38">
        <v>0</v>
      </c>
      <c r="P11" s="42">
        <f t="shared" si="1"/>
        <v>0</v>
      </c>
      <c r="Q11" s="40">
        <v>0</v>
      </c>
      <c r="R11" s="43"/>
      <c r="S11" s="42">
        <f t="shared" si="2"/>
        <v>0</v>
      </c>
      <c r="T11" s="40">
        <v>0</v>
      </c>
      <c r="U11" s="42">
        <f t="shared" si="3"/>
        <v>1</v>
      </c>
      <c r="V11" s="40">
        <v>0</v>
      </c>
      <c r="W11" s="42">
        <f t="shared" si="4"/>
        <v>1</v>
      </c>
      <c r="X11" s="40">
        <v>0</v>
      </c>
    </row>
    <row r="12" spans="3:24" ht="15.75" customHeight="1">
      <c r="C12" s="20" t="s">
        <v>49</v>
      </c>
      <c r="E12" s="37">
        <v>5</v>
      </c>
      <c r="F12" s="38">
        <v>3</v>
      </c>
      <c r="G12" s="37">
        <v>0</v>
      </c>
      <c r="H12" s="38">
        <v>1</v>
      </c>
      <c r="I12" s="42">
        <f t="shared" si="0"/>
        <v>5</v>
      </c>
      <c r="J12" s="40">
        <v>4</v>
      </c>
      <c r="K12" s="43"/>
      <c r="L12" s="44">
        <v>4</v>
      </c>
      <c r="M12" s="45">
        <v>2</v>
      </c>
      <c r="N12" s="37">
        <v>1</v>
      </c>
      <c r="O12" s="38">
        <v>1</v>
      </c>
      <c r="P12" s="42">
        <f t="shared" si="1"/>
        <v>5</v>
      </c>
      <c r="Q12" s="40">
        <v>3</v>
      </c>
      <c r="R12" s="43"/>
      <c r="S12" s="42">
        <f t="shared" si="2"/>
        <v>9</v>
      </c>
      <c r="T12" s="40">
        <v>5</v>
      </c>
      <c r="U12" s="42">
        <f t="shared" si="3"/>
        <v>1</v>
      </c>
      <c r="V12" s="40">
        <v>2</v>
      </c>
      <c r="W12" s="42">
        <f t="shared" si="4"/>
        <v>10</v>
      </c>
      <c r="X12" s="40">
        <v>7</v>
      </c>
    </row>
    <row r="13" spans="2:24" ht="15.75" customHeight="1" thickBot="1">
      <c r="B13" s="46"/>
      <c r="C13" s="46" t="s">
        <v>50</v>
      </c>
      <c r="D13" s="47"/>
      <c r="E13" s="48">
        <v>14</v>
      </c>
      <c r="F13" s="49">
        <v>10</v>
      </c>
      <c r="G13" s="48">
        <v>1</v>
      </c>
      <c r="H13" s="49">
        <v>2</v>
      </c>
      <c r="I13" s="50">
        <f t="shared" si="0"/>
        <v>15</v>
      </c>
      <c r="J13" s="51">
        <v>12</v>
      </c>
      <c r="K13" s="47"/>
      <c r="L13" s="48">
        <v>5</v>
      </c>
      <c r="M13" s="49">
        <v>1</v>
      </c>
      <c r="N13" s="48">
        <v>3</v>
      </c>
      <c r="O13" s="49">
        <v>2</v>
      </c>
      <c r="P13" s="50">
        <f t="shared" si="1"/>
        <v>8</v>
      </c>
      <c r="Q13" s="51">
        <v>3</v>
      </c>
      <c r="R13" s="47"/>
      <c r="S13" s="50">
        <f t="shared" si="2"/>
        <v>19</v>
      </c>
      <c r="T13" s="51">
        <v>11</v>
      </c>
      <c r="U13" s="50">
        <f t="shared" si="3"/>
        <v>4</v>
      </c>
      <c r="V13" s="51">
        <v>4</v>
      </c>
      <c r="W13" s="50">
        <f t="shared" si="4"/>
        <v>23</v>
      </c>
      <c r="X13" s="51">
        <v>15</v>
      </c>
    </row>
    <row r="14" spans="2:24" ht="15.75" customHeight="1">
      <c r="B14" s="20" t="s">
        <v>51</v>
      </c>
      <c r="C14" s="20" t="s">
        <v>52</v>
      </c>
      <c r="E14" s="52">
        <v>0</v>
      </c>
      <c r="F14" s="53">
        <v>0</v>
      </c>
      <c r="G14" s="52">
        <v>1</v>
      </c>
      <c r="H14" s="53">
        <v>0</v>
      </c>
      <c r="I14" s="42">
        <f t="shared" si="0"/>
        <v>1</v>
      </c>
      <c r="J14" s="40">
        <v>0</v>
      </c>
      <c r="K14" s="43"/>
      <c r="L14" s="52">
        <v>0</v>
      </c>
      <c r="M14" s="53">
        <v>0</v>
      </c>
      <c r="N14" s="52">
        <v>0</v>
      </c>
      <c r="O14" s="53">
        <v>0</v>
      </c>
      <c r="P14" s="42">
        <f t="shared" si="1"/>
        <v>0</v>
      </c>
      <c r="Q14" s="40">
        <v>0</v>
      </c>
      <c r="R14" s="43"/>
      <c r="S14" s="42">
        <f t="shared" si="2"/>
        <v>0</v>
      </c>
      <c r="T14" s="40">
        <v>0</v>
      </c>
      <c r="U14" s="42">
        <f t="shared" si="3"/>
        <v>1</v>
      </c>
      <c r="V14" s="40">
        <v>0</v>
      </c>
      <c r="W14" s="42">
        <f t="shared" si="4"/>
        <v>1</v>
      </c>
      <c r="X14" s="40">
        <v>0</v>
      </c>
    </row>
    <row r="15" spans="3:24" ht="15.75" customHeight="1">
      <c r="C15" s="20" t="s">
        <v>53</v>
      </c>
      <c r="E15" s="52">
        <v>8</v>
      </c>
      <c r="F15" s="53">
        <v>2</v>
      </c>
      <c r="G15" s="52">
        <v>0</v>
      </c>
      <c r="H15" s="53">
        <v>0</v>
      </c>
      <c r="I15" s="42">
        <f t="shared" si="0"/>
        <v>8</v>
      </c>
      <c r="J15" s="40">
        <v>2</v>
      </c>
      <c r="K15" s="43"/>
      <c r="L15" s="52">
        <v>0</v>
      </c>
      <c r="M15" s="53">
        <v>0</v>
      </c>
      <c r="N15" s="52">
        <v>0</v>
      </c>
      <c r="O15" s="53">
        <v>0</v>
      </c>
      <c r="P15" s="42">
        <f t="shared" si="1"/>
        <v>0</v>
      </c>
      <c r="Q15" s="40">
        <v>0</v>
      </c>
      <c r="R15" s="43"/>
      <c r="S15" s="42">
        <f t="shared" si="2"/>
        <v>8</v>
      </c>
      <c r="T15" s="40">
        <v>2</v>
      </c>
      <c r="U15" s="42">
        <f t="shared" si="3"/>
        <v>0</v>
      </c>
      <c r="V15" s="40">
        <v>0</v>
      </c>
      <c r="W15" s="42">
        <f t="shared" si="4"/>
        <v>8</v>
      </c>
      <c r="X15" s="40">
        <v>2</v>
      </c>
    </row>
    <row r="16" spans="3:24" ht="15.75" customHeight="1">
      <c r="C16" s="20" t="s">
        <v>54</v>
      </c>
      <c r="E16" s="52">
        <v>51</v>
      </c>
      <c r="F16" s="53">
        <v>47</v>
      </c>
      <c r="G16" s="52">
        <v>2</v>
      </c>
      <c r="H16" s="53">
        <v>2</v>
      </c>
      <c r="I16" s="42">
        <f t="shared" si="0"/>
        <v>53</v>
      </c>
      <c r="J16" s="40">
        <v>49</v>
      </c>
      <c r="K16" s="43"/>
      <c r="L16" s="52">
        <v>8</v>
      </c>
      <c r="M16" s="53">
        <v>4</v>
      </c>
      <c r="N16" s="52">
        <v>6</v>
      </c>
      <c r="O16" s="53">
        <v>4</v>
      </c>
      <c r="P16" s="42">
        <f t="shared" si="1"/>
        <v>14</v>
      </c>
      <c r="Q16" s="40">
        <v>8</v>
      </c>
      <c r="R16" s="43"/>
      <c r="S16" s="42">
        <f t="shared" si="2"/>
        <v>59</v>
      </c>
      <c r="T16" s="40">
        <v>51</v>
      </c>
      <c r="U16" s="42">
        <f t="shared" si="3"/>
        <v>8</v>
      </c>
      <c r="V16" s="40">
        <v>6</v>
      </c>
      <c r="W16" s="42">
        <f t="shared" si="4"/>
        <v>67</v>
      </c>
      <c r="X16" s="40">
        <v>57</v>
      </c>
    </row>
    <row r="17" spans="3:24" ht="15.75" customHeight="1">
      <c r="C17" s="20" t="s">
        <v>55</v>
      </c>
      <c r="E17" s="52">
        <v>81</v>
      </c>
      <c r="F17" s="53">
        <v>70</v>
      </c>
      <c r="G17" s="52">
        <v>3</v>
      </c>
      <c r="H17" s="53">
        <v>8</v>
      </c>
      <c r="I17" s="42">
        <f t="shared" si="0"/>
        <v>84</v>
      </c>
      <c r="J17" s="40">
        <v>78</v>
      </c>
      <c r="K17" s="43"/>
      <c r="L17" s="52">
        <v>6</v>
      </c>
      <c r="M17" s="53">
        <v>12</v>
      </c>
      <c r="N17" s="52">
        <v>6</v>
      </c>
      <c r="O17" s="53">
        <v>5</v>
      </c>
      <c r="P17" s="42">
        <f t="shared" si="1"/>
        <v>12</v>
      </c>
      <c r="Q17" s="40">
        <v>17</v>
      </c>
      <c r="R17" s="43"/>
      <c r="S17" s="42">
        <f t="shared" si="2"/>
        <v>87</v>
      </c>
      <c r="T17" s="40">
        <v>82</v>
      </c>
      <c r="U17" s="42">
        <f t="shared" si="3"/>
        <v>9</v>
      </c>
      <c r="V17" s="40">
        <v>13</v>
      </c>
      <c r="W17" s="42">
        <f t="shared" si="4"/>
        <v>96</v>
      </c>
      <c r="X17" s="40">
        <v>95</v>
      </c>
    </row>
    <row r="18" spans="3:24" ht="15.75" customHeight="1">
      <c r="C18" s="20" t="s">
        <v>56</v>
      </c>
      <c r="E18" s="52">
        <v>34</v>
      </c>
      <c r="F18" s="53">
        <v>17</v>
      </c>
      <c r="G18" s="52">
        <v>1</v>
      </c>
      <c r="H18" s="53">
        <v>3</v>
      </c>
      <c r="I18" s="42">
        <f t="shared" si="0"/>
        <v>35</v>
      </c>
      <c r="J18" s="40">
        <v>20</v>
      </c>
      <c r="K18" s="43"/>
      <c r="L18" s="52">
        <v>6</v>
      </c>
      <c r="M18" s="53">
        <v>3</v>
      </c>
      <c r="N18" s="52">
        <v>1</v>
      </c>
      <c r="O18" s="53">
        <v>1</v>
      </c>
      <c r="P18" s="42">
        <f t="shared" si="1"/>
        <v>7</v>
      </c>
      <c r="Q18" s="40">
        <v>4</v>
      </c>
      <c r="R18" s="43"/>
      <c r="S18" s="42">
        <f t="shared" si="2"/>
        <v>40</v>
      </c>
      <c r="T18" s="40">
        <v>20</v>
      </c>
      <c r="U18" s="42">
        <f t="shared" si="3"/>
        <v>2</v>
      </c>
      <c r="V18" s="40">
        <v>4</v>
      </c>
      <c r="W18" s="42">
        <f t="shared" si="4"/>
        <v>42</v>
      </c>
      <c r="X18" s="40">
        <v>24</v>
      </c>
    </row>
    <row r="19" spans="3:24" ht="15.75" customHeight="1">
      <c r="C19" s="20" t="s">
        <v>57</v>
      </c>
      <c r="E19" s="52">
        <v>27</v>
      </c>
      <c r="F19" s="53">
        <v>17</v>
      </c>
      <c r="G19" s="52">
        <v>2</v>
      </c>
      <c r="H19" s="53">
        <v>1</v>
      </c>
      <c r="I19" s="42">
        <f t="shared" si="0"/>
        <v>29</v>
      </c>
      <c r="J19" s="40">
        <v>18</v>
      </c>
      <c r="K19" s="43"/>
      <c r="L19" s="52">
        <v>5</v>
      </c>
      <c r="M19" s="53">
        <v>2</v>
      </c>
      <c r="N19" s="52">
        <v>0</v>
      </c>
      <c r="O19" s="53">
        <v>0</v>
      </c>
      <c r="P19" s="42">
        <f t="shared" si="1"/>
        <v>5</v>
      </c>
      <c r="Q19" s="40">
        <v>2</v>
      </c>
      <c r="R19" s="43"/>
      <c r="S19" s="42">
        <f t="shared" si="2"/>
        <v>32</v>
      </c>
      <c r="T19" s="40">
        <v>19</v>
      </c>
      <c r="U19" s="42">
        <f t="shared" si="3"/>
        <v>2</v>
      </c>
      <c r="V19" s="40">
        <v>1</v>
      </c>
      <c r="W19" s="42">
        <f t="shared" si="4"/>
        <v>34</v>
      </c>
      <c r="X19" s="40">
        <v>20</v>
      </c>
    </row>
    <row r="20" spans="1:24" ht="15.75" customHeight="1" thickBot="1">
      <c r="A20" s="54"/>
      <c r="B20" s="55"/>
      <c r="C20" s="55" t="s">
        <v>50</v>
      </c>
      <c r="D20" s="56"/>
      <c r="E20" s="57">
        <v>0</v>
      </c>
      <c r="F20" s="58">
        <v>0</v>
      </c>
      <c r="G20" s="57">
        <v>0</v>
      </c>
      <c r="H20" s="58">
        <v>0</v>
      </c>
      <c r="I20" s="59">
        <f t="shared" si="0"/>
        <v>0</v>
      </c>
      <c r="J20" s="60">
        <v>0</v>
      </c>
      <c r="K20" s="56"/>
      <c r="L20" s="57">
        <v>0</v>
      </c>
      <c r="M20" s="58">
        <v>0</v>
      </c>
      <c r="N20" s="57">
        <v>0</v>
      </c>
      <c r="O20" s="58">
        <v>0</v>
      </c>
      <c r="P20" s="59">
        <f t="shared" si="1"/>
        <v>0</v>
      </c>
      <c r="Q20" s="60">
        <v>0</v>
      </c>
      <c r="R20" s="56"/>
      <c r="S20" s="59">
        <f t="shared" si="2"/>
        <v>0</v>
      </c>
      <c r="T20" s="60">
        <v>0</v>
      </c>
      <c r="U20" s="59">
        <f t="shared" si="3"/>
        <v>0</v>
      </c>
      <c r="V20" s="60">
        <v>0</v>
      </c>
      <c r="W20" s="59">
        <f t="shared" si="4"/>
        <v>0</v>
      </c>
      <c r="X20" s="60">
        <v>0</v>
      </c>
    </row>
    <row r="21" spans="1:24" s="62" customFormat="1" ht="15.75" customHeight="1">
      <c r="A21" s="54"/>
      <c r="B21" s="54" t="s">
        <v>58</v>
      </c>
      <c r="C21" s="54" t="s">
        <v>59</v>
      </c>
      <c r="E21" s="63">
        <v>188</v>
      </c>
      <c r="F21" s="64">
        <v>140</v>
      </c>
      <c r="G21" s="63">
        <v>5</v>
      </c>
      <c r="H21" s="64">
        <v>11</v>
      </c>
      <c r="I21" s="65">
        <f t="shared" si="0"/>
        <v>193</v>
      </c>
      <c r="J21" s="66">
        <v>151</v>
      </c>
      <c r="K21" s="61"/>
      <c r="L21" s="63">
        <v>13</v>
      </c>
      <c r="M21" s="64">
        <v>12</v>
      </c>
      <c r="N21" s="63">
        <v>3</v>
      </c>
      <c r="O21" s="64">
        <v>4</v>
      </c>
      <c r="P21" s="65">
        <f t="shared" si="1"/>
        <v>16</v>
      </c>
      <c r="Q21" s="66">
        <v>16</v>
      </c>
      <c r="R21" s="61"/>
      <c r="S21" s="65">
        <f t="shared" si="2"/>
        <v>201</v>
      </c>
      <c r="T21" s="66">
        <v>152</v>
      </c>
      <c r="U21" s="65">
        <f t="shared" si="3"/>
        <v>8</v>
      </c>
      <c r="V21" s="66">
        <v>15</v>
      </c>
      <c r="W21" s="65">
        <f t="shared" si="4"/>
        <v>209</v>
      </c>
      <c r="X21" s="66">
        <v>167</v>
      </c>
    </row>
    <row r="22" spans="1:24" s="62" customFormat="1" ht="15.75" customHeight="1">
      <c r="A22" s="54"/>
      <c r="B22" s="54"/>
      <c r="C22" s="54" t="s">
        <v>60</v>
      </c>
      <c r="E22" s="63">
        <v>8</v>
      </c>
      <c r="F22" s="64">
        <v>5</v>
      </c>
      <c r="G22" s="63">
        <v>3</v>
      </c>
      <c r="H22" s="64">
        <v>1</v>
      </c>
      <c r="I22" s="65">
        <f t="shared" si="0"/>
        <v>11</v>
      </c>
      <c r="J22" s="66">
        <v>6</v>
      </c>
      <c r="K22" s="61"/>
      <c r="L22" s="63">
        <v>8</v>
      </c>
      <c r="M22" s="64">
        <v>4</v>
      </c>
      <c r="N22" s="63">
        <v>6</v>
      </c>
      <c r="O22" s="64">
        <v>3</v>
      </c>
      <c r="P22" s="65">
        <f t="shared" si="1"/>
        <v>14</v>
      </c>
      <c r="Q22" s="66">
        <v>7</v>
      </c>
      <c r="R22" s="61"/>
      <c r="S22" s="65">
        <f t="shared" si="2"/>
        <v>16</v>
      </c>
      <c r="T22" s="66">
        <v>9</v>
      </c>
      <c r="U22" s="65">
        <f t="shared" si="3"/>
        <v>9</v>
      </c>
      <c r="V22" s="66">
        <v>4</v>
      </c>
      <c r="W22" s="65">
        <f t="shared" si="4"/>
        <v>25</v>
      </c>
      <c r="X22" s="66">
        <v>13</v>
      </c>
    </row>
    <row r="23" spans="1:24" s="62" customFormat="1" ht="15.75" customHeight="1" thickBot="1">
      <c r="A23" s="67"/>
      <c r="B23" s="67"/>
      <c r="C23" s="67" t="s">
        <v>50</v>
      </c>
      <c r="D23" s="68"/>
      <c r="E23" s="69">
        <v>5</v>
      </c>
      <c r="F23" s="70">
        <v>8</v>
      </c>
      <c r="G23" s="63">
        <v>1</v>
      </c>
      <c r="H23" s="64">
        <v>2</v>
      </c>
      <c r="I23" s="65">
        <f t="shared" si="0"/>
        <v>6</v>
      </c>
      <c r="J23" s="71">
        <v>10</v>
      </c>
      <c r="K23" s="61"/>
      <c r="L23" s="63">
        <v>4</v>
      </c>
      <c r="M23" s="64">
        <v>5</v>
      </c>
      <c r="N23" s="63">
        <v>4</v>
      </c>
      <c r="O23" s="64">
        <v>3</v>
      </c>
      <c r="P23" s="65">
        <f t="shared" si="1"/>
        <v>8</v>
      </c>
      <c r="Q23" s="71">
        <v>8</v>
      </c>
      <c r="R23" s="61"/>
      <c r="S23" s="65">
        <f t="shared" si="2"/>
        <v>9</v>
      </c>
      <c r="T23" s="66">
        <v>13</v>
      </c>
      <c r="U23" s="65">
        <f t="shared" si="3"/>
        <v>5</v>
      </c>
      <c r="V23" s="66">
        <v>5</v>
      </c>
      <c r="W23" s="65">
        <f t="shared" si="4"/>
        <v>14</v>
      </c>
      <c r="X23" s="66">
        <v>18</v>
      </c>
    </row>
    <row r="24" spans="1:24" s="80" customFormat="1" ht="18" customHeight="1" thickBot="1" thickTop="1">
      <c r="A24" s="72" t="s">
        <v>61</v>
      </c>
      <c r="B24" s="73" t="s">
        <v>35</v>
      </c>
      <c r="C24" s="74"/>
      <c r="D24" s="75"/>
      <c r="E24" s="76">
        <f>SUM(E25:E30)</f>
        <v>86</v>
      </c>
      <c r="F24" s="77">
        <v>73</v>
      </c>
      <c r="G24" s="76">
        <f>SUM(G25:G30)</f>
        <v>5</v>
      </c>
      <c r="H24" s="77">
        <v>2</v>
      </c>
      <c r="I24" s="76">
        <f>SUM(I25:I30)</f>
        <v>91</v>
      </c>
      <c r="J24" s="78">
        <v>75</v>
      </c>
      <c r="K24" s="76"/>
      <c r="L24" s="76">
        <f>SUM(L25:L30)</f>
        <v>11</v>
      </c>
      <c r="M24" s="77">
        <v>11</v>
      </c>
      <c r="N24" s="76">
        <f>SUM(N25:N30)</f>
        <v>4</v>
      </c>
      <c r="O24" s="77">
        <v>6</v>
      </c>
      <c r="P24" s="76">
        <f>SUM(P25:P30)</f>
        <v>15</v>
      </c>
      <c r="Q24" s="60">
        <v>17</v>
      </c>
      <c r="R24" s="76"/>
      <c r="S24" s="76">
        <f>SUM(S25:S30)</f>
        <v>97</v>
      </c>
      <c r="T24" s="78">
        <v>84</v>
      </c>
      <c r="U24" s="76">
        <f>SUM(U25:U30)</f>
        <v>9</v>
      </c>
      <c r="V24" s="78">
        <v>8</v>
      </c>
      <c r="W24" s="76">
        <f>SUM(W25:W30)</f>
        <v>106</v>
      </c>
      <c r="X24" s="78">
        <v>92</v>
      </c>
    </row>
    <row r="25" spans="1:24" s="62" customFormat="1" ht="15.75" customHeight="1">
      <c r="A25" s="54"/>
      <c r="B25" s="54" t="s">
        <v>44</v>
      </c>
      <c r="C25" s="54" t="s">
        <v>45</v>
      </c>
      <c r="E25" s="81">
        <v>32</v>
      </c>
      <c r="F25" s="82">
        <v>24</v>
      </c>
      <c r="G25" s="81">
        <v>3</v>
      </c>
      <c r="H25" s="82">
        <v>0</v>
      </c>
      <c r="I25" s="65">
        <f aca="true" t="shared" si="5" ref="I25:I40">E25+G25</f>
        <v>35</v>
      </c>
      <c r="J25" s="66">
        <v>24</v>
      </c>
      <c r="K25" s="61"/>
      <c r="L25" s="63">
        <v>4</v>
      </c>
      <c r="M25" s="64">
        <v>3</v>
      </c>
      <c r="N25" s="81">
        <v>1</v>
      </c>
      <c r="O25" s="82">
        <v>2</v>
      </c>
      <c r="P25" s="65">
        <f aca="true" t="shared" si="6" ref="P25:P40">L25+N25</f>
        <v>5</v>
      </c>
      <c r="Q25" s="66">
        <v>5</v>
      </c>
      <c r="R25" s="61"/>
      <c r="S25" s="65">
        <f aca="true" t="shared" si="7" ref="S25:S40">E25+L25</f>
        <v>36</v>
      </c>
      <c r="T25" s="66">
        <v>27</v>
      </c>
      <c r="U25" s="65">
        <f aca="true" t="shared" si="8" ref="U25:U40">G25+N25</f>
        <v>4</v>
      </c>
      <c r="V25" s="66">
        <v>2</v>
      </c>
      <c r="W25" s="65">
        <f aca="true" t="shared" si="9" ref="W25:W40">S25+U25</f>
        <v>40</v>
      </c>
      <c r="X25" s="66">
        <v>29</v>
      </c>
    </row>
    <row r="26" spans="1:24" s="62" customFormat="1" ht="15.75" customHeight="1">
      <c r="A26" s="54"/>
      <c r="B26" s="54"/>
      <c r="C26" s="54" t="s">
        <v>46</v>
      </c>
      <c r="E26" s="81">
        <v>38</v>
      </c>
      <c r="F26" s="82">
        <v>34</v>
      </c>
      <c r="G26" s="81">
        <v>0</v>
      </c>
      <c r="H26" s="82">
        <v>0</v>
      </c>
      <c r="I26" s="65">
        <f t="shared" si="5"/>
        <v>38</v>
      </c>
      <c r="J26" s="66">
        <v>34</v>
      </c>
      <c r="K26" s="61"/>
      <c r="L26" s="63">
        <v>2</v>
      </c>
      <c r="M26" s="64">
        <v>1</v>
      </c>
      <c r="N26" s="81">
        <v>0</v>
      </c>
      <c r="O26" s="82">
        <v>0</v>
      </c>
      <c r="P26" s="65">
        <f t="shared" si="6"/>
        <v>2</v>
      </c>
      <c r="Q26" s="66">
        <v>1</v>
      </c>
      <c r="R26" s="61"/>
      <c r="S26" s="65">
        <f t="shared" si="7"/>
        <v>40</v>
      </c>
      <c r="T26" s="66">
        <v>35</v>
      </c>
      <c r="U26" s="65">
        <f t="shared" si="8"/>
        <v>0</v>
      </c>
      <c r="V26" s="66">
        <v>0</v>
      </c>
      <c r="W26" s="65">
        <f t="shared" si="9"/>
        <v>40</v>
      </c>
      <c r="X26" s="66">
        <v>35</v>
      </c>
    </row>
    <row r="27" spans="1:24" s="62" customFormat="1" ht="15.75" customHeight="1">
      <c r="A27" s="54"/>
      <c r="B27" s="54"/>
      <c r="C27" s="54" t="s">
        <v>47</v>
      </c>
      <c r="E27" s="81">
        <v>0</v>
      </c>
      <c r="F27" s="82">
        <v>1</v>
      </c>
      <c r="G27" s="81">
        <v>0</v>
      </c>
      <c r="H27" s="82">
        <v>0</v>
      </c>
      <c r="I27" s="65">
        <f t="shared" si="5"/>
        <v>0</v>
      </c>
      <c r="J27" s="66">
        <v>1</v>
      </c>
      <c r="K27" s="61"/>
      <c r="L27" s="63">
        <v>0</v>
      </c>
      <c r="M27" s="64">
        <v>0</v>
      </c>
      <c r="N27" s="81">
        <v>0</v>
      </c>
      <c r="O27" s="82">
        <v>0</v>
      </c>
      <c r="P27" s="65">
        <f t="shared" si="6"/>
        <v>0</v>
      </c>
      <c r="Q27" s="66">
        <v>0</v>
      </c>
      <c r="R27" s="61"/>
      <c r="S27" s="65">
        <f t="shared" si="7"/>
        <v>0</v>
      </c>
      <c r="T27" s="66">
        <v>1</v>
      </c>
      <c r="U27" s="65">
        <f t="shared" si="8"/>
        <v>0</v>
      </c>
      <c r="V27" s="66">
        <v>0</v>
      </c>
      <c r="W27" s="65">
        <f t="shared" si="9"/>
        <v>0</v>
      </c>
      <c r="X27" s="66">
        <v>1</v>
      </c>
    </row>
    <row r="28" spans="1:24" s="62" customFormat="1" ht="15.75" customHeight="1">
      <c r="A28" s="54"/>
      <c r="B28" s="54"/>
      <c r="C28" s="54" t="s">
        <v>48</v>
      </c>
      <c r="E28" s="81">
        <v>0</v>
      </c>
      <c r="F28" s="82">
        <v>0</v>
      </c>
      <c r="G28" s="81">
        <v>0</v>
      </c>
      <c r="H28" s="82">
        <v>0</v>
      </c>
      <c r="I28" s="65">
        <f t="shared" si="5"/>
        <v>0</v>
      </c>
      <c r="J28" s="66">
        <v>0</v>
      </c>
      <c r="K28" s="61"/>
      <c r="L28" s="63">
        <v>0</v>
      </c>
      <c r="M28" s="64">
        <v>0</v>
      </c>
      <c r="N28" s="81">
        <v>0</v>
      </c>
      <c r="O28" s="82">
        <v>0</v>
      </c>
      <c r="P28" s="65">
        <f t="shared" si="6"/>
        <v>0</v>
      </c>
      <c r="Q28" s="66">
        <v>0</v>
      </c>
      <c r="R28" s="61"/>
      <c r="S28" s="65">
        <f t="shared" si="7"/>
        <v>0</v>
      </c>
      <c r="T28" s="66">
        <v>0</v>
      </c>
      <c r="U28" s="65">
        <f t="shared" si="8"/>
        <v>0</v>
      </c>
      <c r="V28" s="66">
        <v>0</v>
      </c>
      <c r="W28" s="65">
        <f t="shared" si="9"/>
        <v>0</v>
      </c>
      <c r="X28" s="66">
        <v>0</v>
      </c>
    </row>
    <row r="29" spans="1:24" s="62" customFormat="1" ht="15.75" customHeight="1">
      <c r="A29" s="54"/>
      <c r="B29" s="54"/>
      <c r="C29" s="54" t="s">
        <v>49</v>
      </c>
      <c r="E29" s="81">
        <v>4</v>
      </c>
      <c r="F29" s="82">
        <v>2</v>
      </c>
      <c r="G29" s="81">
        <v>1</v>
      </c>
      <c r="H29" s="82">
        <v>0</v>
      </c>
      <c r="I29" s="65">
        <f t="shared" si="5"/>
        <v>5</v>
      </c>
      <c r="J29" s="66">
        <v>2</v>
      </c>
      <c r="K29" s="61"/>
      <c r="L29" s="63">
        <v>0</v>
      </c>
      <c r="M29" s="64">
        <v>0</v>
      </c>
      <c r="N29" s="81">
        <v>0</v>
      </c>
      <c r="O29" s="82">
        <v>0</v>
      </c>
      <c r="P29" s="65">
        <f t="shared" si="6"/>
        <v>0</v>
      </c>
      <c r="Q29" s="66">
        <v>0</v>
      </c>
      <c r="R29" s="61"/>
      <c r="S29" s="65">
        <f t="shared" si="7"/>
        <v>4</v>
      </c>
      <c r="T29" s="66">
        <v>2</v>
      </c>
      <c r="U29" s="65">
        <f t="shared" si="8"/>
        <v>1</v>
      </c>
      <c r="V29" s="66">
        <v>0</v>
      </c>
      <c r="W29" s="65">
        <f t="shared" si="9"/>
        <v>5</v>
      </c>
      <c r="X29" s="66">
        <v>2</v>
      </c>
    </row>
    <row r="30" spans="1:24" s="62" customFormat="1" ht="15.75" customHeight="1" thickBot="1">
      <c r="A30" s="54"/>
      <c r="B30" s="55"/>
      <c r="C30" s="55" t="s">
        <v>50</v>
      </c>
      <c r="D30" s="56"/>
      <c r="E30" s="57">
        <v>12</v>
      </c>
      <c r="F30" s="58">
        <v>12</v>
      </c>
      <c r="G30" s="57">
        <v>1</v>
      </c>
      <c r="H30" s="58">
        <v>2</v>
      </c>
      <c r="I30" s="59">
        <f t="shared" si="5"/>
        <v>13</v>
      </c>
      <c r="J30" s="60">
        <v>14</v>
      </c>
      <c r="K30" s="56"/>
      <c r="L30" s="57">
        <v>5</v>
      </c>
      <c r="M30" s="58">
        <v>7</v>
      </c>
      <c r="N30" s="57">
        <v>3</v>
      </c>
      <c r="O30" s="58">
        <v>4</v>
      </c>
      <c r="P30" s="59">
        <f t="shared" si="6"/>
        <v>8</v>
      </c>
      <c r="Q30" s="60">
        <v>11</v>
      </c>
      <c r="R30" s="56"/>
      <c r="S30" s="59">
        <f t="shared" si="7"/>
        <v>17</v>
      </c>
      <c r="T30" s="60">
        <v>19</v>
      </c>
      <c r="U30" s="59">
        <f t="shared" si="8"/>
        <v>4</v>
      </c>
      <c r="V30" s="60">
        <v>6</v>
      </c>
      <c r="W30" s="59">
        <f t="shared" si="9"/>
        <v>21</v>
      </c>
      <c r="X30" s="60">
        <v>25</v>
      </c>
    </row>
    <row r="31" spans="1:24" s="62" customFormat="1" ht="15.75" customHeight="1">
      <c r="A31" s="54"/>
      <c r="B31" s="54" t="s">
        <v>51</v>
      </c>
      <c r="C31" s="54" t="s">
        <v>52</v>
      </c>
      <c r="E31" s="63">
        <v>0</v>
      </c>
      <c r="F31" s="64">
        <v>0</v>
      </c>
      <c r="G31" s="63">
        <v>0</v>
      </c>
      <c r="H31" s="64">
        <v>0</v>
      </c>
      <c r="I31" s="65">
        <f t="shared" si="5"/>
        <v>0</v>
      </c>
      <c r="J31" s="66">
        <v>0</v>
      </c>
      <c r="K31" s="61"/>
      <c r="L31" s="63">
        <v>0</v>
      </c>
      <c r="M31" s="64">
        <v>0</v>
      </c>
      <c r="N31" s="63">
        <v>0</v>
      </c>
      <c r="O31" s="64">
        <v>0</v>
      </c>
      <c r="P31" s="65">
        <f t="shared" si="6"/>
        <v>0</v>
      </c>
      <c r="Q31" s="66">
        <v>0</v>
      </c>
      <c r="R31" s="61"/>
      <c r="S31" s="65">
        <f t="shared" si="7"/>
        <v>0</v>
      </c>
      <c r="T31" s="66">
        <v>0</v>
      </c>
      <c r="U31" s="65">
        <f t="shared" si="8"/>
        <v>0</v>
      </c>
      <c r="V31" s="66">
        <v>0</v>
      </c>
      <c r="W31" s="65">
        <f t="shared" si="9"/>
        <v>0</v>
      </c>
      <c r="X31" s="66">
        <v>0</v>
      </c>
    </row>
    <row r="32" spans="1:24" s="62" customFormat="1" ht="15.75" customHeight="1">
      <c r="A32" s="54"/>
      <c r="B32" s="54"/>
      <c r="C32" s="54" t="s">
        <v>53</v>
      </c>
      <c r="E32" s="63">
        <v>0</v>
      </c>
      <c r="F32" s="64">
        <v>0</v>
      </c>
      <c r="G32" s="63">
        <v>0</v>
      </c>
      <c r="H32" s="64">
        <v>0</v>
      </c>
      <c r="I32" s="65">
        <f t="shared" si="5"/>
        <v>0</v>
      </c>
      <c r="J32" s="66">
        <v>0</v>
      </c>
      <c r="K32" s="61"/>
      <c r="L32" s="63">
        <v>0</v>
      </c>
      <c r="M32" s="64">
        <v>0</v>
      </c>
      <c r="N32" s="63">
        <v>0</v>
      </c>
      <c r="O32" s="64">
        <v>0</v>
      </c>
      <c r="P32" s="65">
        <f t="shared" si="6"/>
        <v>0</v>
      </c>
      <c r="Q32" s="66">
        <v>0</v>
      </c>
      <c r="R32" s="61"/>
      <c r="S32" s="65">
        <f t="shared" si="7"/>
        <v>0</v>
      </c>
      <c r="T32" s="66">
        <v>0</v>
      </c>
      <c r="U32" s="65">
        <f t="shared" si="8"/>
        <v>0</v>
      </c>
      <c r="V32" s="66">
        <v>0</v>
      </c>
      <c r="W32" s="65">
        <f t="shared" si="9"/>
        <v>0</v>
      </c>
      <c r="X32" s="66">
        <v>0</v>
      </c>
    </row>
    <row r="33" spans="1:24" s="62" customFormat="1" ht="15.75" customHeight="1">
      <c r="A33" s="54"/>
      <c r="B33" s="54"/>
      <c r="C33" s="54" t="s">
        <v>54</v>
      </c>
      <c r="E33" s="81">
        <v>4</v>
      </c>
      <c r="F33" s="82">
        <v>9</v>
      </c>
      <c r="G33" s="81">
        <v>0</v>
      </c>
      <c r="H33" s="82">
        <v>0</v>
      </c>
      <c r="I33" s="65">
        <f t="shared" si="5"/>
        <v>4</v>
      </c>
      <c r="J33" s="66">
        <v>9</v>
      </c>
      <c r="K33" s="61"/>
      <c r="L33" s="63">
        <v>1</v>
      </c>
      <c r="M33" s="64">
        <v>0</v>
      </c>
      <c r="N33" s="81">
        <v>0</v>
      </c>
      <c r="O33" s="82">
        <v>0</v>
      </c>
      <c r="P33" s="65">
        <f t="shared" si="6"/>
        <v>1</v>
      </c>
      <c r="Q33" s="66">
        <v>0</v>
      </c>
      <c r="R33" s="61"/>
      <c r="S33" s="65">
        <f t="shared" si="7"/>
        <v>5</v>
      </c>
      <c r="T33" s="66">
        <v>9</v>
      </c>
      <c r="U33" s="65">
        <f t="shared" si="8"/>
        <v>0</v>
      </c>
      <c r="V33" s="66">
        <v>0</v>
      </c>
      <c r="W33" s="65">
        <f t="shared" si="9"/>
        <v>5</v>
      </c>
      <c r="X33" s="66">
        <v>9</v>
      </c>
    </row>
    <row r="34" spans="1:24" s="62" customFormat="1" ht="15.75" customHeight="1">
      <c r="A34" s="54"/>
      <c r="B34" s="54"/>
      <c r="C34" s="54" t="s">
        <v>55</v>
      </c>
      <c r="E34" s="81">
        <v>29</v>
      </c>
      <c r="F34" s="82">
        <v>23</v>
      </c>
      <c r="G34" s="81">
        <v>4</v>
      </c>
      <c r="H34" s="82">
        <v>0</v>
      </c>
      <c r="I34" s="65">
        <f t="shared" si="5"/>
        <v>33</v>
      </c>
      <c r="J34" s="66">
        <v>23</v>
      </c>
      <c r="K34" s="61"/>
      <c r="L34" s="63">
        <v>5</v>
      </c>
      <c r="M34" s="64">
        <v>3</v>
      </c>
      <c r="N34" s="81">
        <v>3</v>
      </c>
      <c r="O34" s="82">
        <v>5</v>
      </c>
      <c r="P34" s="65">
        <f t="shared" si="6"/>
        <v>8</v>
      </c>
      <c r="Q34" s="66">
        <v>8</v>
      </c>
      <c r="R34" s="61"/>
      <c r="S34" s="65">
        <f t="shared" si="7"/>
        <v>34</v>
      </c>
      <c r="T34" s="66">
        <v>26</v>
      </c>
      <c r="U34" s="65">
        <f t="shared" si="8"/>
        <v>7</v>
      </c>
      <c r="V34" s="66">
        <v>5</v>
      </c>
      <c r="W34" s="65">
        <f t="shared" si="9"/>
        <v>41</v>
      </c>
      <c r="X34" s="66">
        <v>31</v>
      </c>
    </row>
    <row r="35" spans="1:24" s="62" customFormat="1" ht="15.75" customHeight="1">
      <c r="A35" s="54"/>
      <c r="B35" s="54"/>
      <c r="C35" s="54" t="s">
        <v>56</v>
      </c>
      <c r="E35" s="81">
        <v>20</v>
      </c>
      <c r="F35" s="82">
        <v>23</v>
      </c>
      <c r="G35" s="81">
        <v>1</v>
      </c>
      <c r="H35" s="82">
        <v>1</v>
      </c>
      <c r="I35" s="65">
        <f t="shared" si="5"/>
        <v>21</v>
      </c>
      <c r="J35" s="66">
        <v>24</v>
      </c>
      <c r="K35" s="61"/>
      <c r="L35" s="63">
        <v>4</v>
      </c>
      <c r="M35" s="64">
        <v>5</v>
      </c>
      <c r="N35" s="81">
        <v>1</v>
      </c>
      <c r="O35" s="82">
        <v>1</v>
      </c>
      <c r="P35" s="65">
        <f t="shared" si="6"/>
        <v>5</v>
      </c>
      <c r="Q35" s="66">
        <v>6</v>
      </c>
      <c r="R35" s="61"/>
      <c r="S35" s="65">
        <f t="shared" si="7"/>
        <v>24</v>
      </c>
      <c r="T35" s="66">
        <v>28</v>
      </c>
      <c r="U35" s="65">
        <f t="shared" si="8"/>
        <v>2</v>
      </c>
      <c r="V35" s="66">
        <v>2</v>
      </c>
      <c r="W35" s="65">
        <f t="shared" si="9"/>
        <v>26</v>
      </c>
      <c r="X35" s="66">
        <v>30</v>
      </c>
    </row>
    <row r="36" spans="1:24" s="62" customFormat="1" ht="15.75" customHeight="1">
      <c r="A36" s="54"/>
      <c r="B36" s="54"/>
      <c r="C36" s="54" t="s">
        <v>57</v>
      </c>
      <c r="E36" s="81">
        <v>33</v>
      </c>
      <c r="F36" s="82">
        <v>18</v>
      </c>
      <c r="G36" s="81">
        <v>0</v>
      </c>
      <c r="H36" s="82">
        <v>1</v>
      </c>
      <c r="I36" s="65">
        <f t="shared" si="5"/>
        <v>33</v>
      </c>
      <c r="J36" s="66">
        <v>19</v>
      </c>
      <c r="K36" s="61"/>
      <c r="L36" s="63">
        <v>1</v>
      </c>
      <c r="M36" s="64">
        <v>3</v>
      </c>
      <c r="N36" s="81">
        <v>0</v>
      </c>
      <c r="O36" s="82">
        <v>0</v>
      </c>
      <c r="P36" s="65">
        <f t="shared" si="6"/>
        <v>1</v>
      </c>
      <c r="Q36" s="66">
        <v>3</v>
      </c>
      <c r="R36" s="61"/>
      <c r="S36" s="65">
        <f t="shared" si="7"/>
        <v>34</v>
      </c>
      <c r="T36" s="66">
        <v>21</v>
      </c>
      <c r="U36" s="65">
        <f t="shared" si="8"/>
        <v>0</v>
      </c>
      <c r="V36" s="66">
        <v>1</v>
      </c>
      <c r="W36" s="65">
        <f t="shared" si="9"/>
        <v>34</v>
      </c>
      <c r="X36" s="66">
        <v>22</v>
      </c>
    </row>
    <row r="37" spans="1:24" s="62" customFormat="1" ht="15.75" customHeight="1" thickBot="1">
      <c r="A37" s="54"/>
      <c r="B37" s="55"/>
      <c r="C37" s="55" t="s">
        <v>50</v>
      </c>
      <c r="D37" s="56"/>
      <c r="E37" s="57">
        <v>0</v>
      </c>
      <c r="F37" s="58">
        <v>0</v>
      </c>
      <c r="G37" s="57">
        <v>0</v>
      </c>
      <c r="H37" s="58">
        <v>0</v>
      </c>
      <c r="I37" s="59">
        <f t="shared" si="5"/>
        <v>0</v>
      </c>
      <c r="J37" s="60">
        <v>0</v>
      </c>
      <c r="K37" s="56"/>
      <c r="L37" s="57">
        <v>0</v>
      </c>
      <c r="M37" s="58">
        <v>0</v>
      </c>
      <c r="N37" s="57">
        <v>0</v>
      </c>
      <c r="O37" s="58">
        <v>0</v>
      </c>
      <c r="P37" s="59">
        <f t="shared" si="6"/>
        <v>0</v>
      </c>
      <c r="Q37" s="60">
        <v>0</v>
      </c>
      <c r="R37" s="56"/>
      <c r="S37" s="59">
        <f t="shared" si="7"/>
        <v>0</v>
      </c>
      <c r="T37" s="60">
        <v>0</v>
      </c>
      <c r="U37" s="59">
        <f t="shared" si="8"/>
        <v>0</v>
      </c>
      <c r="V37" s="60">
        <v>0</v>
      </c>
      <c r="W37" s="59">
        <f t="shared" si="9"/>
        <v>0</v>
      </c>
      <c r="X37" s="60">
        <v>0</v>
      </c>
    </row>
    <row r="38" spans="1:24" s="62" customFormat="1" ht="15.75" customHeight="1">
      <c r="A38" s="54"/>
      <c r="B38" s="54" t="s">
        <v>58</v>
      </c>
      <c r="C38" s="54" t="s">
        <v>59</v>
      </c>
      <c r="E38" s="63">
        <v>73</v>
      </c>
      <c r="F38" s="64">
        <v>57</v>
      </c>
      <c r="G38" s="63">
        <v>1</v>
      </c>
      <c r="H38" s="64">
        <v>1</v>
      </c>
      <c r="I38" s="65">
        <f t="shared" si="5"/>
        <v>74</v>
      </c>
      <c r="J38" s="66">
        <v>58</v>
      </c>
      <c r="K38" s="61"/>
      <c r="L38" s="63">
        <v>9</v>
      </c>
      <c r="M38" s="64">
        <v>3</v>
      </c>
      <c r="N38" s="63">
        <v>1</v>
      </c>
      <c r="O38" s="64">
        <v>1</v>
      </c>
      <c r="P38" s="65">
        <f t="shared" si="6"/>
        <v>10</v>
      </c>
      <c r="Q38" s="66">
        <v>4</v>
      </c>
      <c r="R38" s="61"/>
      <c r="S38" s="65">
        <f t="shared" si="7"/>
        <v>82</v>
      </c>
      <c r="T38" s="66">
        <v>60</v>
      </c>
      <c r="U38" s="65">
        <f t="shared" si="8"/>
        <v>2</v>
      </c>
      <c r="V38" s="66">
        <v>2</v>
      </c>
      <c r="W38" s="65">
        <f t="shared" si="9"/>
        <v>84</v>
      </c>
      <c r="X38" s="66">
        <v>62</v>
      </c>
    </row>
    <row r="39" spans="1:24" s="62" customFormat="1" ht="15.75" customHeight="1">
      <c r="A39" s="54"/>
      <c r="B39" s="54"/>
      <c r="C39" s="54" t="s">
        <v>60</v>
      </c>
      <c r="E39" s="63">
        <v>10</v>
      </c>
      <c r="F39" s="64">
        <v>5</v>
      </c>
      <c r="G39" s="63">
        <v>4</v>
      </c>
      <c r="H39" s="64">
        <v>0</v>
      </c>
      <c r="I39" s="65">
        <f t="shared" si="5"/>
        <v>14</v>
      </c>
      <c r="J39" s="66">
        <v>5</v>
      </c>
      <c r="K39" s="61"/>
      <c r="L39" s="63">
        <v>1</v>
      </c>
      <c r="M39" s="64">
        <v>3</v>
      </c>
      <c r="N39" s="63">
        <v>3</v>
      </c>
      <c r="O39" s="64">
        <v>0</v>
      </c>
      <c r="P39" s="65">
        <f t="shared" si="6"/>
        <v>4</v>
      </c>
      <c r="Q39" s="66">
        <v>3</v>
      </c>
      <c r="R39" s="61"/>
      <c r="S39" s="65">
        <f t="shared" si="7"/>
        <v>11</v>
      </c>
      <c r="T39" s="66">
        <v>8</v>
      </c>
      <c r="U39" s="65">
        <f t="shared" si="8"/>
        <v>7</v>
      </c>
      <c r="V39" s="66">
        <v>0</v>
      </c>
      <c r="W39" s="65">
        <f t="shared" si="9"/>
        <v>18</v>
      </c>
      <c r="X39" s="66">
        <v>8</v>
      </c>
    </row>
    <row r="40" spans="1:24" s="62" customFormat="1" ht="15.75" customHeight="1" thickBot="1">
      <c r="A40" s="67"/>
      <c r="B40" s="67"/>
      <c r="C40" s="67" t="s">
        <v>50</v>
      </c>
      <c r="D40" s="68"/>
      <c r="E40" s="69">
        <v>3</v>
      </c>
      <c r="F40" s="70">
        <v>11</v>
      </c>
      <c r="G40" s="69">
        <v>0</v>
      </c>
      <c r="H40" s="70">
        <v>1</v>
      </c>
      <c r="I40" s="83">
        <f t="shared" si="5"/>
        <v>3</v>
      </c>
      <c r="J40" s="71">
        <v>12</v>
      </c>
      <c r="K40" s="68"/>
      <c r="L40" s="69">
        <v>1</v>
      </c>
      <c r="M40" s="70">
        <v>5</v>
      </c>
      <c r="N40" s="69">
        <v>0</v>
      </c>
      <c r="O40" s="70">
        <v>5</v>
      </c>
      <c r="P40" s="83">
        <f t="shared" si="6"/>
        <v>1</v>
      </c>
      <c r="Q40" s="71">
        <v>10</v>
      </c>
      <c r="R40" s="68"/>
      <c r="S40" s="83">
        <f t="shared" si="7"/>
        <v>4</v>
      </c>
      <c r="T40" s="71">
        <v>16</v>
      </c>
      <c r="U40" s="83">
        <f t="shared" si="8"/>
        <v>0</v>
      </c>
      <c r="V40" s="71">
        <v>6</v>
      </c>
      <c r="W40" s="83">
        <f t="shared" si="9"/>
        <v>4</v>
      </c>
      <c r="X40" s="71">
        <v>22</v>
      </c>
    </row>
    <row r="41" spans="1:24" ht="14.25" thickTop="1">
      <c r="A41" s="20" t="s">
        <v>62</v>
      </c>
      <c r="H41" s="43"/>
      <c r="I41" s="19"/>
      <c r="J41" s="43"/>
      <c r="K41" s="43"/>
      <c r="L41" s="19"/>
      <c r="P41" s="19"/>
      <c r="Q41" s="43"/>
      <c r="R41" s="43"/>
      <c r="S41" s="19"/>
      <c r="T41" s="43"/>
      <c r="U41" s="19"/>
      <c r="V41" s="43"/>
      <c r="W41" s="19"/>
      <c r="X41" s="43"/>
    </row>
    <row r="42" spans="1:24" ht="13.5">
      <c r="A42" s="20" t="s">
        <v>63</v>
      </c>
      <c r="R42" s="43"/>
      <c r="S42" s="19"/>
      <c r="T42" s="43"/>
      <c r="U42" s="19"/>
      <c r="V42" s="43"/>
      <c r="W42" s="19"/>
      <c r="X42" s="43"/>
    </row>
  </sheetData>
  <sheetProtection/>
  <printOptions/>
  <pageMargins left="0.75" right="0.75" top="1" bottom="1" header="0.512" footer="0.512"/>
  <pageSetup fitToHeight="1" fitToWidth="1" horizontalDpi="200" verticalDpi="200" orientation="landscape" paperSize="9" scale="70" r:id="rId1"/>
</worksheet>
</file>

<file path=xl/worksheets/sheet4.xml><?xml version="1.0" encoding="utf-8"?>
<worksheet xmlns="http://schemas.openxmlformats.org/spreadsheetml/2006/main" xmlns:r="http://schemas.openxmlformats.org/officeDocument/2006/relationships">
  <dimension ref="A1:O34"/>
  <sheetViews>
    <sheetView zoomScalePageLayoutView="0" workbookViewId="0" topLeftCell="A1">
      <selection activeCell="A1" sqref="A1"/>
    </sheetView>
  </sheetViews>
  <sheetFormatPr defaultColWidth="9.00390625" defaultRowHeight="13.5"/>
  <cols>
    <col min="1" max="1" width="10.50390625" style="0" customWidth="1"/>
    <col min="2" max="2" width="17.625" style="0" customWidth="1"/>
    <col min="3" max="3" width="1.875" style="0" customWidth="1"/>
    <col min="4" max="6" width="6.625" style="0" customWidth="1"/>
    <col min="7" max="7" width="2.375" style="0" customWidth="1"/>
    <col min="8" max="10" width="6.625" style="0" customWidth="1"/>
    <col min="11" max="11" width="1.875" style="0" customWidth="1"/>
    <col min="12" max="14" width="6.625" style="0" customWidth="1"/>
    <col min="15" max="15" width="1.875" style="0" customWidth="1"/>
  </cols>
  <sheetData>
    <row r="1" spans="1:15" ht="16.5" thickBot="1">
      <c r="A1" s="43" t="s">
        <v>67</v>
      </c>
      <c r="B1" s="43"/>
      <c r="C1" s="43"/>
      <c r="D1" s="43"/>
      <c r="E1" s="43"/>
      <c r="F1" s="43"/>
      <c r="G1" s="43"/>
      <c r="H1" s="43"/>
      <c r="I1" s="43"/>
      <c r="J1" s="43"/>
      <c r="K1" s="43"/>
      <c r="L1" s="43"/>
      <c r="M1" s="43"/>
      <c r="N1" s="43"/>
      <c r="O1" s="43"/>
    </row>
    <row r="2" spans="1:15" ht="14.25" thickTop="1">
      <c r="A2" s="84" t="s">
        <v>32</v>
      </c>
      <c r="B2" s="84" t="s">
        <v>44</v>
      </c>
      <c r="C2" s="84"/>
      <c r="D2" s="85" t="s">
        <v>33</v>
      </c>
      <c r="E2" s="85"/>
      <c r="F2" s="85"/>
      <c r="G2" s="84"/>
      <c r="H2" s="85" t="s">
        <v>34</v>
      </c>
      <c r="I2" s="85"/>
      <c r="J2" s="85"/>
      <c r="K2" s="84"/>
      <c r="L2" s="85" t="s">
        <v>35</v>
      </c>
      <c r="M2" s="85"/>
      <c r="N2" s="85"/>
      <c r="O2" s="86"/>
    </row>
    <row r="3" spans="1:15" s="4" customFormat="1" ht="14.25" thickBot="1">
      <c r="A3" s="28"/>
      <c r="B3" s="28"/>
      <c r="C3" s="28"/>
      <c r="D3" s="28" t="s">
        <v>36</v>
      </c>
      <c r="E3" s="28" t="s">
        <v>37</v>
      </c>
      <c r="F3" s="28" t="s">
        <v>38</v>
      </c>
      <c r="G3" s="28"/>
      <c r="H3" s="28" t="s">
        <v>36</v>
      </c>
      <c r="I3" s="28" t="s">
        <v>37</v>
      </c>
      <c r="J3" s="28" t="s">
        <v>38</v>
      </c>
      <c r="K3" s="28"/>
      <c r="L3" s="28" t="s">
        <v>36</v>
      </c>
      <c r="M3" s="28" t="s">
        <v>37</v>
      </c>
      <c r="N3" s="28" t="s">
        <v>38</v>
      </c>
      <c r="O3" s="86"/>
    </row>
    <row r="4" spans="1:15" ht="15.75" customHeight="1" thickTop="1">
      <c r="A4" s="4" t="s">
        <v>43</v>
      </c>
      <c r="B4" t="s">
        <v>45</v>
      </c>
      <c r="D4" s="87">
        <v>1426</v>
      </c>
      <c r="E4" s="87">
        <v>456</v>
      </c>
      <c r="F4" s="87">
        <f aca="true" t="shared" si="0" ref="F4:F9">SUM(D4:E4)</f>
        <v>1882</v>
      </c>
      <c r="G4" s="87"/>
      <c r="H4" s="87">
        <v>288</v>
      </c>
      <c r="I4" s="87">
        <v>703</v>
      </c>
      <c r="J4" s="87">
        <f aca="true" t="shared" si="1" ref="J4:J9">SUM(H4:I4)</f>
        <v>991</v>
      </c>
      <c r="K4" s="88"/>
      <c r="L4" s="88">
        <f aca="true" t="shared" si="2" ref="L4:M9">D4+H4</f>
        <v>1714</v>
      </c>
      <c r="M4" s="88">
        <f t="shared" si="2"/>
        <v>1159</v>
      </c>
      <c r="N4" s="88">
        <f aca="true" t="shared" si="3" ref="N4:N16">SUM(L4:M4)</f>
        <v>2873</v>
      </c>
      <c r="O4" s="89"/>
    </row>
    <row r="5" spans="2:14" ht="15.75" customHeight="1">
      <c r="B5" t="s">
        <v>68</v>
      </c>
      <c r="D5" s="87">
        <v>3194</v>
      </c>
      <c r="E5" s="87">
        <v>1</v>
      </c>
      <c r="F5" s="87">
        <f t="shared" si="0"/>
        <v>3195</v>
      </c>
      <c r="G5" s="90"/>
      <c r="H5" s="87">
        <v>215</v>
      </c>
      <c r="I5" s="87">
        <v>0</v>
      </c>
      <c r="J5" s="87">
        <f t="shared" si="1"/>
        <v>215</v>
      </c>
      <c r="K5" s="91"/>
      <c r="L5" s="88">
        <f t="shared" si="2"/>
        <v>3409</v>
      </c>
      <c r="M5" s="88">
        <f t="shared" si="2"/>
        <v>1</v>
      </c>
      <c r="N5" s="88">
        <f t="shared" si="3"/>
        <v>3410</v>
      </c>
    </row>
    <row r="6" spans="2:14" ht="15.75" customHeight="1">
      <c r="B6" t="s">
        <v>47</v>
      </c>
      <c r="D6" s="87">
        <v>18</v>
      </c>
      <c r="E6" s="87">
        <v>1</v>
      </c>
      <c r="F6" s="87">
        <f t="shared" si="0"/>
        <v>19</v>
      </c>
      <c r="G6" s="90"/>
      <c r="H6" s="87">
        <v>19</v>
      </c>
      <c r="I6" s="87">
        <v>2</v>
      </c>
      <c r="J6" s="87">
        <f t="shared" si="1"/>
        <v>21</v>
      </c>
      <c r="K6" s="91"/>
      <c r="L6" s="88">
        <f t="shared" si="2"/>
        <v>37</v>
      </c>
      <c r="M6" s="88">
        <f t="shared" si="2"/>
        <v>3</v>
      </c>
      <c r="N6" s="88">
        <f t="shared" si="3"/>
        <v>40</v>
      </c>
    </row>
    <row r="7" spans="2:14" ht="15.75" customHeight="1">
      <c r="B7" t="s">
        <v>48</v>
      </c>
      <c r="C7" s="43"/>
      <c r="D7" s="92">
        <v>13</v>
      </c>
      <c r="E7" s="92">
        <v>8</v>
      </c>
      <c r="F7" s="92">
        <f t="shared" si="0"/>
        <v>21</v>
      </c>
      <c r="G7" s="93"/>
      <c r="H7" s="92">
        <v>4</v>
      </c>
      <c r="I7" s="92">
        <v>7</v>
      </c>
      <c r="J7" s="92">
        <f t="shared" si="1"/>
        <v>11</v>
      </c>
      <c r="K7" s="94"/>
      <c r="L7" s="95">
        <f t="shared" si="2"/>
        <v>17</v>
      </c>
      <c r="M7" s="88">
        <f t="shared" si="2"/>
        <v>15</v>
      </c>
      <c r="N7" s="88">
        <f t="shared" si="3"/>
        <v>32</v>
      </c>
    </row>
    <row r="8" spans="2:14" ht="15.75" customHeight="1">
      <c r="B8" s="43" t="s">
        <v>69</v>
      </c>
      <c r="C8" s="43"/>
      <c r="D8" s="92">
        <v>86</v>
      </c>
      <c r="E8" s="92">
        <v>29</v>
      </c>
      <c r="F8" s="92">
        <f t="shared" si="0"/>
        <v>115</v>
      </c>
      <c r="G8" s="93"/>
      <c r="H8" s="92">
        <v>26</v>
      </c>
      <c r="I8" s="92">
        <v>16</v>
      </c>
      <c r="J8" s="92">
        <f t="shared" si="1"/>
        <v>42</v>
      </c>
      <c r="K8" s="94"/>
      <c r="L8" s="95">
        <f t="shared" si="2"/>
        <v>112</v>
      </c>
      <c r="M8" s="95">
        <f t="shared" si="2"/>
        <v>45</v>
      </c>
      <c r="N8" s="95">
        <f t="shared" si="3"/>
        <v>157</v>
      </c>
    </row>
    <row r="9" spans="2:15" ht="15.75" customHeight="1" thickBot="1">
      <c r="B9" s="47" t="s">
        <v>50</v>
      </c>
      <c r="C9" s="47"/>
      <c r="D9" s="96">
        <v>496</v>
      </c>
      <c r="E9" s="96">
        <v>63</v>
      </c>
      <c r="F9" s="96">
        <f t="shared" si="0"/>
        <v>559</v>
      </c>
      <c r="G9" s="97"/>
      <c r="H9" s="96">
        <v>276</v>
      </c>
      <c r="I9" s="96">
        <v>491</v>
      </c>
      <c r="J9" s="96">
        <f t="shared" si="1"/>
        <v>767</v>
      </c>
      <c r="K9" s="98"/>
      <c r="L9" s="99">
        <f t="shared" si="2"/>
        <v>772</v>
      </c>
      <c r="M9" s="99">
        <f t="shared" si="2"/>
        <v>554</v>
      </c>
      <c r="N9" s="99">
        <f t="shared" si="3"/>
        <v>1326</v>
      </c>
      <c r="O9" s="43"/>
    </row>
    <row r="10" spans="1:15" ht="15.75" customHeight="1" thickBot="1">
      <c r="A10" s="100"/>
      <c r="B10" s="100" t="s">
        <v>65</v>
      </c>
      <c r="C10" s="100"/>
      <c r="D10" s="101">
        <f>SUM(D4:D9)</f>
        <v>5233</v>
      </c>
      <c r="E10" s="101">
        <f>SUM(E4:E9)</f>
        <v>558</v>
      </c>
      <c r="F10" s="101">
        <f>SUM(F4:F9)</f>
        <v>5791</v>
      </c>
      <c r="G10" s="101"/>
      <c r="H10" s="101">
        <f>SUM(H4:H9)</f>
        <v>828</v>
      </c>
      <c r="I10" s="101">
        <f>SUM(I4:I9)</f>
        <v>1219</v>
      </c>
      <c r="J10" s="101">
        <f>SUM(J4:J9)</f>
        <v>2047</v>
      </c>
      <c r="K10" s="102"/>
      <c r="L10" s="102">
        <f>SUM(L4:L9)</f>
        <v>6061</v>
      </c>
      <c r="M10" s="102">
        <f>SUM(M4:M9)</f>
        <v>1777</v>
      </c>
      <c r="N10" s="102">
        <f t="shared" si="3"/>
        <v>7838</v>
      </c>
      <c r="O10" s="103"/>
    </row>
    <row r="11" spans="1:15" ht="15.75" customHeight="1" thickTop="1">
      <c r="A11" s="4" t="s">
        <v>61</v>
      </c>
      <c r="B11" t="s">
        <v>45</v>
      </c>
      <c r="D11" s="87">
        <v>1141</v>
      </c>
      <c r="E11" s="87">
        <v>132</v>
      </c>
      <c r="F11" s="87">
        <f aca="true" t="shared" si="4" ref="F11:F16">SUM(D11:E11)</f>
        <v>1273</v>
      </c>
      <c r="G11" s="87"/>
      <c r="H11" s="87">
        <v>210</v>
      </c>
      <c r="I11" s="87">
        <v>146</v>
      </c>
      <c r="J11" s="87">
        <f aca="true" t="shared" si="5" ref="J11:J16">SUM(H11:I11)</f>
        <v>356</v>
      </c>
      <c r="K11" s="88"/>
      <c r="L11" s="88">
        <f aca="true" t="shared" si="6" ref="L11:M16">D11+H11</f>
        <v>1351</v>
      </c>
      <c r="M11" s="88">
        <f t="shared" si="6"/>
        <v>278</v>
      </c>
      <c r="N11" s="88">
        <f t="shared" si="3"/>
        <v>1629</v>
      </c>
      <c r="O11" s="89"/>
    </row>
    <row r="12" spans="2:14" ht="15.75" customHeight="1">
      <c r="B12" t="s">
        <v>68</v>
      </c>
      <c r="D12" s="87">
        <v>971</v>
      </c>
      <c r="E12" s="87">
        <v>1</v>
      </c>
      <c r="F12" s="87">
        <f t="shared" si="4"/>
        <v>972</v>
      </c>
      <c r="G12" s="90"/>
      <c r="H12" s="87">
        <v>85</v>
      </c>
      <c r="I12" s="87">
        <v>2</v>
      </c>
      <c r="J12" s="87">
        <f t="shared" si="5"/>
        <v>87</v>
      </c>
      <c r="K12" s="91"/>
      <c r="L12" s="88">
        <f t="shared" si="6"/>
        <v>1056</v>
      </c>
      <c r="M12" s="88">
        <f t="shared" si="6"/>
        <v>3</v>
      </c>
      <c r="N12" s="88">
        <f t="shared" si="3"/>
        <v>1059</v>
      </c>
    </row>
    <row r="13" spans="2:14" ht="15.75" customHeight="1">
      <c r="B13" t="s">
        <v>47</v>
      </c>
      <c r="D13" s="87">
        <v>10</v>
      </c>
      <c r="E13" s="87">
        <v>2</v>
      </c>
      <c r="F13" s="87">
        <f t="shared" si="4"/>
        <v>12</v>
      </c>
      <c r="G13" s="90"/>
      <c r="H13" s="87">
        <v>17</v>
      </c>
      <c r="I13" s="87">
        <v>0</v>
      </c>
      <c r="J13" s="87">
        <f t="shared" si="5"/>
        <v>17</v>
      </c>
      <c r="K13" s="91"/>
      <c r="L13" s="88">
        <f t="shared" si="6"/>
        <v>27</v>
      </c>
      <c r="M13" s="88">
        <f t="shared" si="6"/>
        <v>2</v>
      </c>
      <c r="N13" s="88">
        <f t="shared" si="3"/>
        <v>29</v>
      </c>
    </row>
    <row r="14" spans="2:14" ht="15.75" customHeight="1">
      <c r="B14" t="s">
        <v>48</v>
      </c>
      <c r="D14" s="92">
        <v>9</v>
      </c>
      <c r="E14" s="92">
        <v>3</v>
      </c>
      <c r="F14" s="92">
        <f t="shared" si="4"/>
        <v>12</v>
      </c>
      <c r="G14" s="93"/>
      <c r="H14" s="92">
        <v>1</v>
      </c>
      <c r="I14" s="92">
        <v>4</v>
      </c>
      <c r="J14" s="92">
        <f t="shared" si="5"/>
        <v>5</v>
      </c>
      <c r="K14" s="91"/>
      <c r="L14" s="88">
        <f t="shared" si="6"/>
        <v>10</v>
      </c>
      <c r="M14" s="88">
        <f t="shared" si="6"/>
        <v>7</v>
      </c>
      <c r="N14" s="88">
        <f t="shared" si="3"/>
        <v>17</v>
      </c>
    </row>
    <row r="15" spans="2:14" ht="15.75" customHeight="1">
      <c r="B15" t="s">
        <v>69</v>
      </c>
      <c r="D15" s="92">
        <v>65</v>
      </c>
      <c r="E15" s="92">
        <v>13</v>
      </c>
      <c r="F15" s="92">
        <f t="shared" si="4"/>
        <v>78</v>
      </c>
      <c r="G15" s="93"/>
      <c r="H15" s="92">
        <v>16</v>
      </c>
      <c r="I15" s="92">
        <v>8</v>
      </c>
      <c r="J15" s="92">
        <f t="shared" si="5"/>
        <v>24</v>
      </c>
      <c r="K15" s="94"/>
      <c r="L15" s="95">
        <f t="shared" si="6"/>
        <v>81</v>
      </c>
      <c r="M15" s="88">
        <f t="shared" si="6"/>
        <v>21</v>
      </c>
      <c r="N15" s="88">
        <f t="shared" si="3"/>
        <v>102</v>
      </c>
    </row>
    <row r="16" spans="2:15" ht="15.75" customHeight="1" thickBot="1">
      <c r="B16" s="47" t="s">
        <v>50</v>
      </c>
      <c r="C16" s="47"/>
      <c r="D16" s="96">
        <v>552</v>
      </c>
      <c r="E16" s="96">
        <v>55</v>
      </c>
      <c r="F16" s="96">
        <f t="shared" si="4"/>
        <v>607</v>
      </c>
      <c r="G16" s="97"/>
      <c r="H16" s="96">
        <v>275</v>
      </c>
      <c r="I16" s="96">
        <v>124</v>
      </c>
      <c r="J16" s="96">
        <f t="shared" si="5"/>
        <v>399</v>
      </c>
      <c r="K16" s="98"/>
      <c r="L16" s="99">
        <f t="shared" si="6"/>
        <v>827</v>
      </c>
      <c r="M16" s="99">
        <f t="shared" si="6"/>
        <v>179</v>
      </c>
      <c r="N16" s="99">
        <f t="shared" si="3"/>
        <v>1006</v>
      </c>
      <c r="O16" s="43"/>
    </row>
    <row r="17" spans="1:15" ht="15.75" customHeight="1" thickBot="1">
      <c r="A17" s="100"/>
      <c r="B17" s="100" t="s">
        <v>70</v>
      </c>
      <c r="C17" s="100"/>
      <c r="D17" s="104">
        <f>SUM(D11:D16)</f>
        <v>2748</v>
      </c>
      <c r="E17" s="104">
        <f>SUM(E11:E16)</f>
        <v>206</v>
      </c>
      <c r="F17" s="104">
        <f>SUM(F11:F16)</f>
        <v>2954</v>
      </c>
      <c r="G17" s="104"/>
      <c r="H17" s="104">
        <f>SUM(H11:H16)</f>
        <v>604</v>
      </c>
      <c r="I17" s="104">
        <f>SUM(I11:I16)</f>
        <v>284</v>
      </c>
      <c r="J17" s="104">
        <f>SUM(J11:J16)</f>
        <v>888</v>
      </c>
      <c r="K17" s="105"/>
      <c r="L17" s="105">
        <f>SUM(L11:L16)</f>
        <v>3352</v>
      </c>
      <c r="M17" s="105">
        <f>SUM(M11:M16)</f>
        <v>490</v>
      </c>
      <c r="N17" s="105">
        <f>SUM(N11:N16)</f>
        <v>3842</v>
      </c>
      <c r="O17" s="43"/>
    </row>
    <row r="18" spans="1:15" ht="17.25" customHeight="1" thickBot="1" thickTop="1">
      <c r="A18" s="106" t="s">
        <v>71</v>
      </c>
      <c r="B18" s="106"/>
      <c r="C18" s="106"/>
      <c r="D18" s="107">
        <v>1420</v>
      </c>
      <c r="E18" s="107">
        <v>18</v>
      </c>
      <c r="F18" s="107">
        <f>SUM(D18:E18)</f>
        <v>1438</v>
      </c>
      <c r="G18" s="107"/>
      <c r="H18" s="108" t="s">
        <v>66</v>
      </c>
      <c r="I18" s="108" t="s">
        <v>66</v>
      </c>
      <c r="J18" s="108" t="s">
        <v>66</v>
      </c>
      <c r="K18" s="107"/>
      <c r="L18" s="107">
        <f>D18</f>
        <v>1420</v>
      </c>
      <c r="M18" s="107">
        <f>E18</f>
        <v>18</v>
      </c>
      <c r="N18" s="107">
        <f>SUM(L18:M18)</f>
        <v>1438</v>
      </c>
      <c r="O18" s="103"/>
    </row>
    <row r="19" spans="1:15" ht="15.75" customHeight="1" thickTop="1">
      <c r="A19" s="43"/>
      <c r="B19" s="43"/>
      <c r="C19" s="43"/>
      <c r="D19" s="103"/>
      <c r="E19" s="103"/>
      <c r="F19" s="43"/>
      <c r="G19" s="43"/>
      <c r="H19" s="109"/>
      <c r="I19" s="109"/>
      <c r="J19" s="109"/>
      <c r="K19" s="43"/>
      <c r="L19" s="103"/>
      <c r="M19" s="103"/>
      <c r="N19" s="103"/>
      <c r="O19" s="103"/>
    </row>
    <row r="20" spans="1:15" s="62" customFormat="1" ht="15.75" customHeight="1">
      <c r="A20" s="61" t="s">
        <v>72</v>
      </c>
      <c r="B20" s="61"/>
      <c r="C20" s="61"/>
      <c r="D20" s="61"/>
      <c r="E20" s="61"/>
      <c r="F20" s="61"/>
      <c r="G20" s="61"/>
      <c r="H20" s="79"/>
      <c r="I20" s="79"/>
      <c r="J20" s="79"/>
      <c r="K20" s="61"/>
      <c r="L20" s="61"/>
      <c r="M20" s="61"/>
      <c r="N20" s="61"/>
      <c r="O20" s="61"/>
    </row>
    <row r="21" ht="13.5">
      <c r="A21" t="s">
        <v>73</v>
      </c>
    </row>
    <row r="22" ht="13.5" customHeight="1">
      <c r="A22" t="s">
        <v>74</v>
      </c>
    </row>
    <row r="23" spans="1:15" ht="13.5" customHeight="1">
      <c r="A23" s="111" t="s">
        <v>75</v>
      </c>
      <c r="B23" s="112"/>
      <c r="C23" s="112"/>
      <c r="D23" s="112"/>
      <c r="E23" s="112"/>
      <c r="F23" s="112"/>
      <c r="G23" s="112"/>
      <c r="H23" s="112"/>
      <c r="I23" s="112"/>
      <c r="J23" s="112"/>
      <c r="K23" s="112"/>
      <c r="L23" s="112"/>
      <c r="M23" s="112"/>
      <c r="N23" s="112"/>
      <c r="O23" s="111"/>
    </row>
    <row r="24" spans="1:15" ht="13.5" customHeight="1">
      <c r="A24" s="111" t="s">
        <v>76</v>
      </c>
      <c r="B24" s="112"/>
      <c r="C24" s="112"/>
      <c r="D24" s="112"/>
      <c r="E24" s="112"/>
      <c r="F24" s="112"/>
      <c r="G24" s="112"/>
      <c r="H24" s="112"/>
      <c r="I24" s="112"/>
      <c r="J24" s="112"/>
      <c r="K24" s="112"/>
      <c r="L24" s="112"/>
      <c r="M24" s="112"/>
      <c r="N24" s="112"/>
      <c r="O24" s="111"/>
    </row>
    <row r="25" spans="1:15" ht="13.5" customHeight="1">
      <c r="A25" s="111"/>
      <c r="B25" s="112"/>
      <c r="C25" s="112"/>
      <c r="D25" s="112"/>
      <c r="E25" s="112"/>
      <c r="F25" s="112"/>
      <c r="G25" s="112"/>
      <c r="H25" s="112"/>
      <c r="I25" s="112"/>
      <c r="J25" s="112"/>
      <c r="K25" s="112"/>
      <c r="L25" s="112"/>
      <c r="M25" s="112"/>
      <c r="N25" s="112"/>
      <c r="O25" s="111"/>
    </row>
    <row r="26" spans="1:15" ht="13.5" customHeight="1">
      <c r="A26" s="111"/>
      <c r="B26" s="112"/>
      <c r="C26" s="112"/>
      <c r="D26" s="112"/>
      <c r="E26" s="112"/>
      <c r="F26" s="112"/>
      <c r="G26" s="112"/>
      <c r="H26" s="112"/>
      <c r="I26" s="112"/>
      <c r="J26" s="112"/>
      <c r="K26" s="112"/>
      <c r="L26" s="112"/>
      <c r="M26" s="112"/>
      <c r="N26" s="112"/>
      <c r="O26" s="111"/>
    </row>
    <row r="27" spans="1:15" ht="13.5" customHeight="1">
      <c r="A27" s="111"/>
      <c r="B27" s="112"/>
      <c r="C27" s="112"/>
      <c r="D27" s="112"/>
      <c r="E27" s="112"/>
      <c r="F27" s="112"/>
      <c r="G27" s="112"/>
      <c r="H27" s="112"/>
      <c r="I27" s="112"/>
      <c r="J27" s="112"/>
      <c r="K27" s="112"/>
      <c r="L27" s="112"/>
      <c r="M27" s="112"/>
      <c r="N27" s="112"/>
      <c r="O27" s="111"/>
    </row>
    <row r="28" spans="1:15" ht="13.5">
      <c r="A28" s="111" t="s">
        <v>77</v>
      </c>
      <c r="B28" s="111"/>
      <c r="C28" s="111"/>
      <c r="D28" s="111"/>
      <c r="E28" s="111"/>
      <c r="F28" s="111"/>
      <c r="G28" s="111"/>
      <c r="H28" s="111"/>
      <c r="I28" s="111"/>
      <c r="J28" s="111"/>
      <c r="K28" s="111"/>
      <c r="L28" s="111"/>
      <c r="M28" s="111"/>
      <c r="N28" s="111"/>
      <c r="O28" s="111"/>
    </row>
    <row r="29" spans="1:13" s="120" customFormat="1" ht="18" customHeight="1">
      <c r="A29" s="113" t="s">
        <v>78</v>
      </c>
      <c r="B29" s="114"/>
      <c r="C29" s="115"/>
      <c r="D29" s="116"/>
      <c r="E29" s="117"/>
      <c r="F29" s="118"/>
      <c r="G29" s="115"/>
      <c r="H29" s="118"/>
      <c r="I29" s="117"/>
      <c r="J29" s="118"/>
      <c r="K29" s="117"/>
      <c r="L29" s="119">
        <v>219</v>
      </c>
      <c r="M29" s="117" t="s">
        <v>79</v>
      </c>
    </row>
    <row r="30" spans="1:13" ht="18" customHeight="1">
      <c r="A30" s="121" t="s">
        <v>80</v>
      </c>
      <c r="B30" s="122"/>
      <c r="C30" s="123"/>
      <c r="D30" s="124"/>
      <c r="E30" s="125"/>
      <c r="F30" s="126"/>
      <c r="G30" s="123"/>
      <c r="H30" s="126"/>
      <c r="I30" s="125"/>
      <c r="J30" s="126"/>
      <c r="K30" s="125"/>
      <c r="L30" s="126">
        <v>596</v>
      </c>
      <c r="M30" s="125" t="s">
        <v>79</v>
      </c>
    </row>
    <row r="31" spans="1:13" ht="18" customHeight="1">
      <c r="A31" s="127" t="s">
        <v>81</v>
      </c>
      <c r="B31" s="128"/>
      <c r="C31" s="128"/>
      <c r="D31" s="128"/>
      <c r="E31" s="128"/>
      <c r="F31" s="128"/>
      <c r="G31" s="123"/>
      <c r="H31" s="128"/>
      <c r="I31" s="125"/>
      <c r="J31" s="128"/>
      <c r="K31" s="125"/>
      <c r="L31" s="129">
        <v>592</v>
      </c>
      <c r="M31" s="125" t="s">
        <v>79</v>
      </c>
    </row>
    <row r="32" ht="13.5">
      <c r="A32" s="130"/>
    </row>
    <row r="33" ht="13.5">
      <c r="A33" s="131" t="s">
        <v>82</v>
      </c>
    </row>
    <row r="34" ht="13.5">
      <c r="A34" s="132" t="s">
        <v>83</v>
      </c>
    </row>
  </sheetData>
  <sheetProtection/>
  <printOptions/>
  <pageMargins left="0.71" right="0.19" top="1" bottom="1" header="0.512" footer="0.512"/>
  <pageSetup horizontalDpi="200" verticalDpi="200" orientation="portrait" paperSize="9" scale="95" r:id="rId1"/>
</worksheet>
</file>

<file path=xl/worksheets/sheet5.xml><?xml version="1.0" encoding="utf-8"?>
<worksheet xmlns="http://schemas.openxmlformats.org/spreadsheetml/2006/main" xmlns:r="http://schemas.openxmlformats.org/officeDocument/2006/relationships">
  <dimension ref="A1:S59"/>
  <sheetViews>
    <sheetView zoomScalePageLayoutView="0" workbookViewId="0" topLeftCell="A1">
      <selection activeCell="A1" sqref="A1"/>
    </sheetView>
  </sheetViews>
  <sheetFormatPr defaultColWidth="9.00390625" defaultRowHeight="13.5"/>
  <cols>
    <col min="1" max="1" width="12.00390625" style="0" customWidth="1"/>
    <col min="2" max="2" width="4.25390625" style="133" customWidth="1"/>
    <col min="3" max="3" width="9.25390625" style="0" customWidth="1"/>
    <col min="4" max="4" width="13.25390625" style="0" hidden="1" customWidth="1"/>
    <col min="5" max="5" width="10.50390625" style="0" customWidth="1"/>
    <col min="6" max="6" width="9.625" style="0" customWidth="1"/>
    <col min="7" max="7" width="7.375" style="0" customWidth="1"/>
    <col min="8" max="8" width="1.625" style="0" customWidth="1"/>
    <col min="9" max="9" width="5.625" style="134" customWidth="1"/>
    <col min="10" max="10" width="2.875" style="134" customWidth="1"/>
    <col min="11" max="11" width="3.875" style="134" customWidth="1"/>
    <col min="12" max="12" width="13.25390625" style="0" hidden="1" customWidth="1"/>
    <col min="13" max="13" width="10.50390625" style="0" customWidth="1"/>
    <col min="14" max="14" width="9.375" style="0" customWidth="1"/>
    <col min="15" max="15" width="7.375" style="0" customWidth="1"/>
    <col min="16" max="16" width="1.625" style="0" customWidth="1"/>
    <col min="17" max="17" width="5.625" style="0" customWidth="1"/>
    <col min="18" max="18" width="3.125" style="0" customWidth="1"/>
    <col min="19" max="19" width="9.00390625" style="136" customWidth="1"/>
  </cols>
  <sheetData>
    <row r="1" spans="1:16" ht="13.5">
      <c r="A1" t="s">
        <v>144</v>
      </c>
      <c r="J1" s="135"/>
      <c r="M1" s="43"/>
      <c r="N1" s="43"/>
      <c r="P1" s="43"/>
    </row>
    <row r="2" spans="10:18" ht="14.25" thickBot="1">
      <c r="J2" s="135"/>
      <c r="M2" s="43"/>
      <c r="N2" s="43"/>
      <c r="P2" s="43"/>
      <c r="R2" s="43"/>
    </row>
    <row r="3" spans="1:18" ht="15.75" customHeight="1" thickBot="1" thickTop="1">
      <c r="A3" s="137"/>
      <c r="B3" s="138"/>
      <c r="C3" s="137"/>
      <c r="D3" s="137"/>
      <c r="E3" s="139" t="s">
        <v>43</v>
      </c>
      <c r="F3" s="139"/>
      <c r="G3" s="139"/>
      <c r="H3" s="139"/>
      <c r="I3" s="139"/>
      <c r="J3" s="139"/>
      <c r="K3" s="140"/>
      <c r="L3" s="137"/>
      <c r="M3" s="139" t="s">
        <v>61</v>
      </c>
      <c r="N3" s="139"/>
      <c r="O3" s="139"/>
      <c r="P3" s="139"/>
      <c r="Q3" s="139"/>
      <c r="R3" s="139"/>
    </row>
    <row r="4" spans="1:18" s="43" customFormat="1" ht="15.75" customHeight="1" thickBot="1">
      <c r="A4" s="141" t="s">
        <v>84</v>
      </c>
      <c r="B4" s="142" t="s">
        <v>85</v>
      </c>
      <c r="C4" s="141"/>
      <c r="D4" s="141" t="s">
        <v>86</v>
      </c>
      <c r="E4" s="28" t="s">
        <v>145</v>
      </c>
      <c r="F4" s="143" t="s">
        <v>146</v>
      </c>
      <c r="G4" s="144" t="s">
        <v>147</v>
      </c>
      <c r="H4" s="144"/>
      <c r="I4" s="144"/>
      <c r="J4" s="144"/>
      <c r="K4" s="145"/>
      <c r="L4" s="141" t="s">
        <v>86</v>
      </c>
      <c r="M4" s="28" t="s">
        <v>148</v>
      </c>
      <c r="N4" s="143" t="s">
        <v>149</v>
      </c>
      <c r="O4" s="144" t="s">
        <v>147</v>
      </c>
      <c r="P4" s="144"/>
      <c r="Q4" s="144"/>
      <c r="R4" s="144"/>
    </row>
    <row r="5" spans="1:18" ht="15.75" customHeight="1" thickBot="1" thickTop="1">
      <c r="A5" s="146" t="s">
        <v>87</v>
      </c>
      <c r="B5" s="147">
        <v>1</v>
      </c>
      <c r="C5" s="146" t="s">
        <v>87</v>
      </c>
      <c r="D5" s="148">
        <f>69+6</f>
        <v>75</v>
      </c>
      <c r="E5" s="149">
        <v>4</v>
      </c>
      <c r="F5" s="149">
        <v>6</v>
      </c>
      <c r="G5" s="150">
        <f aca="true" t="shared" si="0" ref="G5:G36">D5+E5</f>
        <v>79</v>
      </c>
      <c r="H5" s="151" t="s">
        <v>88</v>
      </c>
      <c r="I5" s="152">
        <f>G5/G59*100</f>
        <v>1.0079101811686655</v>
      </c>
      <c r="J5" s="151" t="s">
        <v>89</v>
      </c>
      <c r="K5" s="151"/>
      <c r="L5" s="153">
        <f>58+5</f>
        <v>63</v>
      </c>
      <c r="M5" s="149">
        <v>2</v>
      </c>
      <c r="N5" s="149">
        <v>5</v>
      </c>
      <c r="O5" s="150">
        <f aca="true" t="shared" si="1" ref="O5:O36">SUM(L5:M5)</f>
        <v>65</v>
      </c>
      <c r="P5" s="151" t="s">
        <v>88</v>
      </c>
      <c r="Q5" s="152">
        <f>O5/O59*100</f>
        <v>1.691827173347215</v>
      </c>
      <c r="R5" s="151" t="s">
        <v>89</v>
      </c>
    </row>
    <row r="6" spans="1:19" ht="15.75" customHeight="1">
      <c r="A6" t="s">
        <v>90</v>
      </c>
      <c r="B6" s="133">
        <v>2</v>
      </c>
      <c r="C6" t="s">
        <v>91</v>
      </c>
      <c r="D6" s="110">
        <f>21+0</f>
        <v>21</v>
      </c>
      <c r="E6" s="154">
        <v>1</v>
      </c>
      <c r="F6" s="154">
        <v>0</v>
      </c>
      <c r="G6" s="155">
        <f t="shared" si="0"/>
        <v>22</v>
      </c>
      <c r="H6" s="156" t="s">
        <v>88</v>
      </c>
      <c r="I6" s="157">
        <f>G6/G59*100</f>
        <v>0.28068384792038786</v>
      </c>
      <c r="J6" s="156" t="s">
        <v>89</v>
      </c>
      <c r="K6" s="158"/>
      <c r="L6" s="159">
        <f>13+1</f>
        <v>14</v>
      </c>
      <c r="M6" s="154">
        <v>1</v>
      </c>
      <c r="N6" s="154">
        <v>1</v>
      </c>
      <c r="O6" s="155">
        <f t="shared" si="1"/>
        <v>15</v>
      </c>
      <c r="P6" s="156" t="s">
        <v>88</v>
      </c>
      <c r="Q6" s="157">
        <f>O6/O59*100</f>
        <v>0.3904216553878188</v>
      </c>
      <c r="R6" s="156" t="s">
        <v>89</v>
      </c>
      <c r="S6" s="160"/>
    </row>
    <row r="7" spans="2:19" ht="15.75" customHeight="1">
      <c r="B7" s="133">
        <v>3</v>
      </c>
      <c r="C7" t="s">
        <v>92</v>
      </c>
      <c r="D7" s="110">
        <f>13+0</f>
        <v>13</v>
      </c>
      <c r="E7" s="154">
        <v>0</v>
      </c>
      <c r="F7" s="154">
        <v>0</v>
      </c>
      <c r="G7" s="155">
        <f t="shared" si="0"/>
        <v>13</v>
      </c>
      <c r="H7" s="156" t="s">
        <v>88</v>
      </c>
      <c r="I7" s="157">
        <f>G7/G59*100</f>
        <v>0.1658586374075019</v>
      </c>
      <c r="J7" s="156" t="s">
        <v>89</v>
      </c>
      <c r="K7" s="158"/>
      <c r="L7" s="159">
        <f>12+1</f>
        <v>13</v>
      </c>
      <c r="M7" s="154">
        <v>0</v>
      </c>
      <c r="N7" s="154">
        <v>1</v>
      </c>
      <c r="O7" s="155">
        <f t="shared" si="1"/>
        <v>13</v>
      </c>
      <c r="P7" s="156" t="s">
        <v>88</v>
      </c>
      <c r="Q7" s="157">
        <f>O7/O59*100</f>
        <v>0.338365434669443</v>
      </c>
      <c r="R7" s="156" t="s">
        <v>89</v>
      </c>
      <c r="S7" s="160"/>
    </row>
    <row r="8" spans="2:19" ht="15.75" customHeight="1">
      <c r="B8" s="133">
        <v>4</v>
      </c>
      <c r="C8" t="s">
        <v>93</v>
      </c>
      <c r="D8" s="110">
        <f>46+6</f>
        <v>52</v>
      </c>
      <c r="E8" s="154">
        <v>2</v>
      </c>
      <c r="F8" s="154">
        <v>6</v>
      </c>
      <c r="G8" s="155">
        <f t="shared" si="0"/>
        <v>54</v>
      </c>
      <c r="H8" s="156" t="s">
        <v>88</v>
      </c>
      <c r="I8" s="157">
        <f>G8/G59*100</f>
        <v>0.6889512630773156</v>
      </c>
      <c r="J8" s="156" t="s">
        <v>89</v>
      </c>
      <c r="K8" s="158"/>
      <c r="L8" s="159">
        <f>30+0</f>
        <v>30</v>
      </c>
      <c r="M8" s="154">
        <v>1</v>
      </c>
      <c r="N8" s="154">
        <v>0</v>
      </c>
      <c r="O8" s="155">
        <f t="shared" si="1"/>
        <v>31</v>
      </c>
      <c r="P8" s="156" t="s">
        <v>88</v>
      </c>
      <c r="Q8" s="157">
        <f>O8/O59*100</f>
        <v>0.8068714211348256</v>
      </c>
      <c r="R8" s="156" t="s">
        <v>89</v>
      </c>
      <c r="S8" s="160"/>
    </row>
    <row r="9" spans="2:19" ht="15.75" customHeight="1">
      <c r="B9" s="133">
        <v>5</v>
      </c>
      <c r="C9" t="s">
        <v>94</v>
      </c>
      <c r="D9" s="110">
        <f>11+1</f>
        <v>12</v>
      </c>
      <c r="E9" s="154">
        <v>0</v>
      </c>
      <c r="F9" s="154">
        <v>1</v>
      </c>
      <c r="G9" s="155">
        <f t="shared" si="0"/>
        <v>12</v>
      </c>
      <c r="H9" s="156" t="s">
        <v>88</v>
      </c>
      <c r="I9" s="157">
        <f>G9/G59*100</f>
        <v>0.1531002806838479</v>
      </c>
      <c r="J9" s="156" t="s">
        <v>89</v>
      </c>
      <c r="K9" s="158"/>
      <c r="L9" s="159">
        <f>9+1</f>
        <v>10</v>
      </c>
      <c r="M9" s="154">
        <v>0</v>
      </c>
      <c r="N9" s="154">
        <v>1</v>
      </c>
      <c r="O9" s="155">
        <f t="shared" si="1"/>
        <v>10</v>
      </c>
      <c r="P9" s="156" t="s">
        <v>88</v>
      </c>
      <c r="Q9" s="157">
        <f>O9/O59*100</f>
        <v>0.2602811035918792</v>
      </c>
      <c r="R9" s="156" t="s">
        <v>89</v>
      </c>
      <c r="S9" s="160"/>
    </row>
    <row r="10" spans="2:19" ht="15.75" customHeight="1">
      <c r="B10" s="133">
        <v>6</v>
      </c>
      <c r="C10" t="s">
        <v>95</v>
      </c>
      <c r="D10" s="110">
        <f>10+0</f>
        <v>10</v>
      </c>
      <c r="E10" s="154">
        <v>1</v>
      </c>
      <c r="F10" s="154">
        <v>0</v>
      </c>
      <c r="G10" s="155">
        <f t="shared" si="0"/>
        <v>11</v>
      </c>
      <c r="H10" s="156" t="s">
        <v>88</v>
      </c>
      <c r="I10" s="157">
        <f>G10/G59*100</f>
        <v>0.14034192396019393</v>
      </c>
      <c r="J10" s="156" t="s">
        <v>89</v>
      </c>
      <c r="K10" s="158"/>
      <c r="L10" s="159">
        <f>12+0</f>
        <v>12</v>
      </c>
      <c r="M10" s="154">
        <v>1</v>
      </c>
      <c r="N10" s="154">
        <v>0</v>
      </c>
      <c r="O10" s="155">
        <f t="shared" si="1"/>
        <v>13</v>
      </c>
      <c r="P10" s="156" t="s">
        <v>88</v>
      </c>
      <c r="Q10" s="157">
        <f>O10/O59*100</f>
        <v>0.338365434669443</v>
      </c>
      <c r="R10" s="156" t="s">
        <v>89</v>
      </c>
      <c r="S10" s="160"/>
    </row>
    <row r="11" spans="2:19" ht="15.75" customHeight="1">
      <c r="B11" s="133">
        <v>7</v>
      </c>
      <c r="C11" t="s">
        <v>96</v>
      </c>
      <c r="D11" s="110">
        <f>30+2</f>
        <v>32</v>
      </c>
      <c r="E11" s="154">
        <v>1</v>
      </c>
      <c r="F11" s="154">
        <v>2</v>
      </c>
      <c r="G11" s="155">
        <f t="shared" si="0"/>
        <v>33</v>
      </c>
      <c r="H11" s="156" t="s">
        <v>88</v>
      </c>
      <c r="I11" s="157">
        <f>G11/G59*100</f>
        <v>0.4210257718805818</v>
      </c>
      <c r="J11" s="156" t="s">
        <v>89</v>
      </c>
      <c r="K11" s="158"/>
      <c r="L11" s="159">
        <f>22+2</f>
        <v>24</v>
      </c>
      <c r="M11" s="154">
        <v>2</v>
      </c>
      <c r="N11" s="154">
        <v>2</v>
      </c>
      <c r="O11" s="155">
        <f t="shared" si="1"/>
        <v>26</v>
      </c>
      <c r="P11" s="156" t="s">
        <v>88</v>
      </c>
      <c r="Q11" s="157">
        <f>O11/O59*100</f>
        <v>0.676730869338886</v>
      </c>
      <c r="R11" s="156" t="s">
        <v>89</v>
      </c>
      <c r="S11" s="160"/>
    </row>
    <row r="12" spans="3:19" ht="15.75" customHeight="1" thickBot="1">
      <c r="C12" s="161" t="s">
        <v>97</v>
      </c>
      <c r="D12" s="162">
        <f>SUM(D6:D11)</f>
        <v>140</v>
      </c>
      <c r="E12" s="163">
        <f>SUM(E6:E11)</f>
        <v>5</v>
      </c>
      <c r="F12" s="163">
        <v>9</v>
      </c>
      <c r="G12" s="163">
        <f t="shared" si="0"/>
        <v>145</v>
      </c>
      <c r="H12" s="163" t="s">
        <v>88</v>
      </c>
      <c r="I12" s="164">
        <f>G12/G59*100</f>
        <v>1.849961724929829</v>
      </c>
      <c r="J12" s="163" t="s">
        <v>89</v>
      </c>
      <c r="K12" s="163"/>
      <c r="L12" s="163">
        <f>SUM(L6:L11)</f>
        <v>103</v>
      </c>
      <c r="M12" s="163">
        <f>SUM(M6:M11)</f>
        <v>5</v>
      </c>
      <c r="N12" s="163">
        <v>5</v>
      </c>
      <c r="O12" s="163">
        <f t="shared" si="1"/>
        <v>108</v>
      </c>
      <c r="P12" s="165" t="s">
        <v>88</v>
      </c>
      <c r="Q12" s="166">
        <f>O12/O59*100</f>
        <v>2.8110359187922955</v>
      </c>
      <c r="R12" s="165" t="s">
        <v>89</v>
      </c>
      <c r="S12" s="160"/>
    </row>
    <row r="13" spans="1:19" ht="15.75" customHeight="1">
      <c r="A13" s="41" t="s">
        <v>98</v>
      </c>
      <c r="B13" s="167">
        <v>8</v>
      </c>
      <c r="C13" s="41" t="s">
        <v>99</v>
      </c>
      <c r="D13" s="168">
        <f>395+5</f>
        <v>400</v>
      </c>
      <c r="E13" s="169">
        <v>5</v>
      </c>
      <c r="F13" s="169">
        <v>5</v>
      </c>
      <c r="G13" s="170">
        <f t="shared" si="0"/>
        <v>405</v>
      </c>
      <c r="H13" s="156" t="s">
        <v>88</v>
      </c>
      <c r="I13" s="171">
        <f>G13/G59*100</f>
        <v>5.167134473079868</v>
      </c>
      <c r="J13" s="156" t="s">
        <v>89</v>
      </c>
      <c r="K13" s="156"/>
      <c r="L13" s="172">
        <f>229+6</f>
        <v>235</v>
      </c>
      <c r="M13" s="154">
        <v>3</v>
      </c>
      <c r="N13" s="154">
        <v>6</v>
      </c>
      <c r="O13" s="170">
        <f t="shared" si="1"/>
        <v>238</v>
      </c>
      <c r="P13" s="156" t="s">
        <v>88</v>
      </c>
      <c r="Q13" s="171">
        <f>O13/O59*100</f>
        <v>6.1946902654867255</v>
      </c>
      <c r="R13" s="156" t="s">
        <v>89</v>
      </c>
      <c r="S13" s="160"/>
    </row>
    <row r="14" spans="2:19" ht="15.75" customHeight="1">
      <c r="B14" s="173">
        <v>9</v>
      </c>
      <c r="C14" t="s">
        <v>100</v>
      </c>
      <c r="D14" s="110">
        <f>129+5</f>
        <v>134</v>
      </c>
      <c r="E14" s="154">
        <v>6</v>
      </c>
      <c r="F14" s="154">
        <v>5</v>
      </c>
      <c r="G14" s="155">
        <f t="shared" si="0"/>
        <v>140</v>
      </c>
      <c r="H14" s="156" t="s">
        <v>88</v>
      </c>
      <c r="I14" s="157">
        <f>G14/G59*100</f>
        <v>1.7861699413115593</v>
      </c>
      <c r="J14" s="156" t="s">
        <v>89</v>
      </c>
      <c r="K14" s="158"/>
      <c r="L14" s="159">
        <f>105+2</f>
        <v>107</v>
      </c>
      <c r="M14" s="154">
        <v>4</v>
      </c>
      <c r="N14" s="154">
        <v>2</v>
      </c>
      <c r="O14" s="155">
        <f t="shared" si="1"/>
        <v>111</v>
      </c>
      <c r="P14" s="156" t="s">
        <v>88</v>
      </c>
      <c r="Q14" s="157">
        <f>O14/O59*100</f>
        <v>2.8891202498698596</v>
      </c>
      <c r="R14" s="156" t="s">
        <v>89</v>
      </c>
      <c r="S14" s="160"/>
    </row>
    <row r="15" spans="2:19" ht="15.75" customHeight="1">
      <c r="B15" s="173">
        <v>10</v>
      </c>
      <c r="C15" t="s">
        <v>101</v>
      </c>
      <c r="D15" s="110">
        <f>97+0</f>
        <v>97</v>
      </c>
      <c r="E15" s="154">
        <v>3</v>
      </c>
      <c r="F15" s="154">
        <v>0</v>
      </c>
      <c r="G15" s="155">
        <f t="shared" si="0"/>
        <v>100</v>
      </c>
      <c r="H15" s="156" t="s">
        <v>88</v>
      </c>
      <c r="I15" s="157">
        <f>G15/G59*100</f>
        <v>1.2758356723653992</v>
      </c>
      <c r="J15" s="156" t="s">
        <v>89</v>
      </c>
      <c r="K15" s="158"/>
      <c r="L15" s="159">
        <f>78+4</f>
        <v>82</v>
      </c>
      <c r="M15" s="154">
        <v>0</v>
      </c>
      <c r="N15" s="154">
        <v>4</v>
      </c>
      <c r="O15" s="155">
        <f t="shared" si="1"/>
        <v>82</v>
      </c>
      <c r="P15" s="156" t="s">
        <v>88</v>
      </c>
      <c r="Q15" s="157">
        <f>O15/O59*100</f>
        <v>2.1343050494534097</v>
      </c>
      <c r="R15" s="156" t="s">
        <v>89</v>
      </c>
      <c r="S15" s="160"/>
    </row>
    <row r="16" spans="2:18" ht="15.75" customHeight="1">
      <c r="B16" s="173">
        <v>11</v>
      </c>
      <c r="C16" t="s">
        <v>102</v>
      </c>
      <c r="D16" s="110">
        <f>253+3</f>
        <v>256</v>
      </c>
      <c r="E16" s="154">
        <v>6</v>
      </c>
      <c r="F16" s="154">
        <v>3</v>
      </c>
      <c r="G16" s="155">
        <f t="shared" si="0"/>
        <v>262</v>
      </c>
      <c r="H16" s="156" t="s">
        <v>88</v>
      </c>
      <c r="I16" s="157">
        <f>G16/G59*100</f>
        <v>3.3426894615973466</v>
      </c>
      <c r="J16" s="156" t="s">
        <v>89</v>
      </c>
      <c r="K16" s="158"/>
      <c r="L16" s="159">
        <f>203+2</f>
        <v>205</v>
      </c>
      <c r="M16" s="154">
        <v>9</v>
      </c>
      <c r="N16" s="154">
        <v>2</v>
      </c>
      <c r="O16" s="155">
        <f t="shared" si="1"/>
        <v>214</v>
      </c>
      <c r="P16" s="156" t="s">
        <v>88</v>
      </c>
      <c r="Q16" s="157">
        <f>O16/O59*100</f>
        <v>5.570015616866216</v>
      </c>
      <c r="R16" s="156" t="s">
        <v>89</v>
      </c>
    </row>
    <row r="17" spans="2:18" ht="15.75" customHeight="1">
      <c r="B17" s="173">
        <v>12</v>
      </c>
      <c r="C17" t="s">
        <v>103</v>
      </c>
      <c r="D17" s="110">
        <f>433+7</f>
        <v>440</v>
      </c>
      <c r="E17" s="154">
        <v>11</v>
      </c>
      <c r="F17" s="154">
        <v>7</v>
      </c>
      <c r="G17" s="155">
        <f t="shared" si="0"/>
        <v>451</v>
      </c>
      <c r="H17" s="156" t="s">
        <v>88</v>
      </c>
      <c r="I17" s="157">
        <f>G17/G59*100</f>
        <v>5.7540188823679514</v>
      </c>
      <c r="J17" s="156" t="s">
        <v>89</v>
      </c>
      <c r="K17" s="158"/>
      <c r="L17" s="159">
        <f>289+5</f>
        <v>294</v>
      </c>
      <c r="M17" s="154">
        <v>6</v>
      </c>
      <c r="N17" s="154">
        <v>5</v>
      </c>
      <c r="O17" s="155">
        <f t="shared" si="1"/>
        <v>300</v>
      </c>
      <c r="P17" s="156" t="s">
        <v>88</v>
      </c>
      <c r="Q17" s="157">
        <f>O17/O59*100</f>
        <v>7.808433107756377</v>
      </c>
      <c r="R17" s="156" t="s">
        <v>89</v>
      </c>
    </row>
    <row r="18" spans="2:18" ht="15.75" customHeight="1">
      <c r="B18" s="173">
        <v>13</v>
      </c>
      <c r="C18" t="s">
        <v>104</v>
      </c>
      <c r="D18" s="110">
        <f>2852+76</f>
        <v>2928</v>
      </c>
      <c r="E18" s="154">
        <v>97</v>
      </c>
      <c r="F18" s="154">
        <v>76</v>
      </c>
      <c r="G18" s="155">
        <f t="shared" si="0"/>
        <v>3025</v>
      </c>
      <c r="H18" s="156" t="s">
        <v>88</v>
      </c>
      <c r="I18" s="157">
        <f>G18/G59*100</f>
        <v>38.59402908905333</v>
      </c>
      <c r="J18" s="156" t="s">
        <v>89</v>
      </c>
      <c r="K18" s="158"/>
      <c r="L18" s="159">
        <f>1086+25</f>
        <v>1111</v>
      </c>
      <c r="M18" s="154">
        <v>29</v>
      </c>
      <c r="N18" s="154">
        <v>25</v>
      </c>
      <c r="O18" s="155">
        <f t="shared" si="1"/>
        <v>1140</v>
      </c>
      <c r="P18" s="156" t="s">
        <v>88</v>
      </c>
      <c r="Q18" s="157">
        <f>O18/O59*100</f>
        <v>29.672045809474234</v>
      </c>
      <c r="R18" s="156" t="s">
        <v>89</v>
      </c>
    </row>
    <row r="19" spans="2:18" ht="15.75" customHeight="1">
      <c r="B19" s="173">
        <v>14</v>
      </c>
      <c r="C19" t="s">
        <v>105</v>
      </c>
      <c r="D19" s="110">
        <f>587+11</f>
        <v>598</v>
      </c>
      <c r="E19" s="154">
        <v>13</v>
      </c>
      <c r="F19" s="154">
        <v>11</v>
      </c>
      <c r="G19" s="155">
        <f t="shared" si="0"/>
        <v>611</v>
      </c>
      <c r="H19" s="156" t="s">
        <v>88</v>
      </c>
      <c r="I19" s="157">
        <f>G19/G59*100</f>
        <v>7.79535595815259</v>
      </c>
      <c r="J19" s="156" t="s">
        <v>89</v>
      </c>
      <c r="K19" s="158"/>
      <c r="L19" s="159">
        <f>311+7</f>
        <v>318</v>
      </c>
      <c r="M19" s="154">
        <v>5</v>
      </c>
      <c r="N19" s="154">
        <v>7</v>
      </c>
      <c r="O19" s="155">
        <f t="shared" si="1"/>
        <v>323</v>
      </c>
      <c r="P19" s="156" t="s">
        <v>88</v>
      </c>
      <c r="Q19" s="157">
        <f>O19/O59*100</f>
        <v>8.4070796460177</v>
      </c>
      <c r="R19" s="156" t="s">
        <v>89</v>
      </c>
    </row>
    <row r="20" spans="2:18" ht="15.75" customHeight="1">
      <c r="B20" s="173">
        <v>15</v>
      </c>
      <c r="C20" t="s">
        <v>106</v>
      </c>
      <c r="D20" s="110">
        <f>53+0</f>
        <v>53</v>
      </c>
      <c r="E20" s="154">
        <v>1</v>
      </c>
      <c r="F20" s="154">
        <v>0</v>
      </c>
      <c r="G20" s="155">
        <f t="shared" si="0"/>
        <v>54</v>
      </c>
      <c r="H20" s="156" t="s">
        <v>88</v>
      </c>
      <c r="I20" s="157">
        <f>G20/G59*100</f>
        <v>0.6889512630773156</v>
      </c>
      <c r="J20" s="156" t="s">
        <v>89</v>
      </c>
      <c r="K20" s="158"/>
      <c r="L20" s="159">
        <f>29+1</f>
        <v>30</v>
      </c>
      <c r="M20" s="154">
        <v>2</v>
      </c>
      <c r="N20" s="154">
        <v>1</v>
      </c>
      <c r="O20" s="155">
        <f t="shared" si="1"/>
        <v>32</v>
      </c>
      <c r="P20" s="156" t="s">
        <v>88</v>
      </c>
      <c r="Q20" s="157">
        <f>O20/O59*100</f>
        <v>0.8328995314940135</v>
      </c>
      <c r="R20" s="156" t="s">
        <v>89</v>
      </c>
    </row>
    <row r="21" spans="2:18" ht="15.75" customHeight="1">
      <c r="B21" s="173">
        <v>16</v>
      </c>
      <c r="C21" t="s">
        <v>107</v>
      </c>
      <c r="D21" s="110">
        <f>75+3</f>
        <v>78</v>
      </c>
      <c r="E21" s="154">
        <v>1</v>
      </c>
      <c r="F21" s="154">
        <v>3</v>
      </c>
      <c r="G21" s="155">
        <f t="shared" si="0"/>
        <v>79</v>
      </c>
      <c r="H21" s="156" t="s">
        <v>88</v>
      </c>
      <c r="I21" s="157">
        <f>G21/G59*100</f>
        <v>1.0079101811686655</v>
      </c>
      <c r="J21" s="156" t="s">
        <v>89</v>
      </c>
      <c r="K21" s="158"/>
      <c r="L21" s="159">
        <f>33+1</f>
        <v>34</v>
      </c>
      <c r="M21" s="154">
        <v>0</v>
      </c>
      <c r="N21" s="154">
        <v>1</v>
      </c>
      <c r="O21" s="155">
        <f t="shared" si="1"/>
        <v>34</v>
      </c>
      <c r="P21" s="156" t="s">
        <v>88</v>
      </c>
      <c r="Q21" s="157">
        <f>O21/O59*100</f>
        <v>0.8849557522123894</v>
      </c>
      <c r="R21" s="156" t="s">
        <v>89</v>
      </c>
    </row>
    <row r="22" spans="2:18" ht="15.75" customHeight="1">
      <c r="B22" s="173">
        <v>17</v>
      </c>
      <c r="C22" t="s">
        <v>108</v>
      </c>
      <c r="D22" s="110">
        <f>221+2</f>
        <v>223</v>
      </c>
      <c r="E22" s="154">
        <v>2</v>
      </c>
      <c r="F22" s="154">
        <v>2</v>
      </c>
      <c r="G22" s="155">
        <f t="shared" si="0"/>
        <v>225</v>
      </c>
      <c r="H22" s="156" t="s">
        <v>88</v>
      </c>
      <c r="I22" s="157">
        <f>G22/G59*100</f>
        <v>2.8706302628221483</v>
      </c>
      <c r="J22" s="156" t="s">
        <v>89</v>
      </c>
      <c r="K22" s="158"/>
      <c r="L22" s="159">
        <f>131+4</f>
        <v>135</v>
      </c>
      <c r="M22" s="154">
        <v>1</v>
      </c>
      <c r="N22" s="154">
        <v>4</v>
      </c>
      <c r="O22" s="155">
        <f t="shared" si="1"/>
        <v>136</v>
      </c>
      <c r="P22" s="156" t="s">
        <v>88</v>
      </c>
      <c r="Q22" s="157">
        <f>O22/O59*100</f>
        <v>3.5398230088495577</v>
      </c>
      <c r="R22" s="156" t="s">
        <v>89</v>
      </c>
    </row>
    <row r="23" spans="3:18" ht="15.75" customHeight="1" thickBot="1">
      <c r="C23" s="174" t="s">
        <v>97</v>
      </c>
      <c r="D23" s="175">
        <f>SUM(D13:D22)</f>
        <v>5207</v>
      </c>
      <c r="E23" s="176">
        <f>SUM(E13:E22)</f>
        <v>145</v>
      </c>
      <c r="F23" s="176">
        <v>112</v>
      </c>
      <c r="G23" s="163">
        <f t="shared" si="0"/>
        <v>5352</v>
      </c>
      <c r="H23" s="163" t="s">
        <v>88</v>
      </c>
      <c r="I23" s="164">
        <f>G23/G59*100</f>
        <v>68.28272518499617</v>
      </c>
      <c r="J23" s="163" t="s">
        <v>89</v>
      </c>
      <c r="K23" s="163"/>
      <c r="L23" s="163">
        <f>SUM(L13:L22)</f>
        <v>2551</v>
      </c>
      <c r="M23" s="163">
        <f>SUM(M13:M22)</f>
        <v>59</v>
      </c>
      <c r="N23" s="163">
        <v>57</v>
      </c>
      <c r="O23" s="163">
        <f t="shared" si="1"/>
        <v>2610</v>
      </c>
      <c r="P23" s="165" t="s">
        <v>88</v>
      </c>
      <c r="Q23" s="166">
        <f>O23/O59*100</f>
        <v>67.93336803748048</v>
      </c>
      <c r="R23" s="165" t="s">
        <v>89</v>
      </c>
    </row>
    <row r="24" spans="1:18" ht="15.75" customHeight="1">
      <c r="A24" s="41" t="s">
        <v>109</v>
      </c>
      <c r="B24" s="167">
        <v>18</v>
      </c>
      <c r="C24" s="41" t="s">
        <v>110</v>
      </c>
      <c r="D24" s="168">
        <f>18+1</f>
        <v>19</v>
      </c>
      <c r="E24" s="169">
        <v>0</v>
      </c>
      <c r="F24" s="169">
        <v>1</v>
      </c>
      <c r="G24" s="170">
        <f t="shared" si="0"/>
        <v>19</v>
      </c>
      <c r="H24" s="156" t="s">
        <v>88</v>
      </c>
      <c r="I24" s="171">
        <f>G24/G59*100</f>
        <v>0.24240877774942587</v>
      </c>
      <c r="J24" s="156" t="s">
        <v>89</v>
      </c>
      <c r="K24" s="156"/>
      <c r="L24" s="172">
        <f>15+1</f>
        <v>16</v>
      </c>
      <c r="M24" s="154">
        <v>1</v>
      </c>
      <c r="N24" s="154">
        <v>1</v>
      </c>
      <c r="O24" s="170">
        <f t="shared" si="1"/>
        <v>17</v>
      </c>
      <c r="P24" s="156" t="s">
        <v>88</v>
      </c>
      <c r="Q24" s="171">
        <f>O24/O59*100</f>
        <v>0.4424778761061947</v>
      </c>
      <c r="R24" s="156" t="s">
        <v>89</v>
      </c>
    </row>
    <row r="25" spans="2:18" ht="15.75" customHeight="1">
      <c r="B25" s="133">
        <v>19</v>
      </c>
      <c r="C25" t="s">
        <v>111</v>
      </c>
      <c r="D25" s="110">
        <f>18+1</f>
        <v>19</v>
      </c>
      <c r="E25" s="154">
        <v>3</v>
      </c>
      <c r="F25" s="154">
        <v>1</v>
      </c>
      <c r="G25" s="155">
        <f t="shared" si="0"/>
        <v>22</v>
      </c>
      <c r="H25" s="156" t="s">
        <v>88</v>
      </c>
      <c r="I25" s="157">
        <f>G25/G59*100</f>
        <v>0.28068384792038786</v>
      </c>
      <c r="J25" s="156" t="s">
        <v>89</v>
      </c>
      <c r="K25" s="158"/>
      <c r="L25" s="159">
        <f>8+1</f>
        <v>9</v>
      </c>
      <c r="M25" s="154">
        <v>0</v>
      </c>
      <c r="N25" s="154">
        <v>1</v>
      </c>
      <c r="O25" s="155">
        <f t="shared" si="1"/>
        <v>9</v>
      </c>
      <c r="P25" s="156" t="s">
        <v>88</v>
      </c>
      <c r="Q25" s="157">
        <f>O25/O59*100</f>
        <v>0.2342529932326913</v>
      </c>
      <c r="R25" s="156" t="s">
        <v>89</v>
      </c>
    </row>
    <row r="26" spans="2:18" ht="15.75" customHeight="1">
      <c r="B26" s="133">
        <v>20</v>
      </c>
      <c r="C26" t="s">
        <v>112</v>
      </c>
      <c r="D26" s="110">
        <f>24+0</f>
        <v>24</v>
      </c>
      <c r="E26" s="154">
        <v>0</v>
      </c>
      <c r="F26" s="154">
        <v>0</v>
      </c>
      <c r="G26" s="155">
        <f t="shared" si="0"/>
        <v>24</v>
      </c>
      <c r="H26" s="156" t="s">
        <v>88</v>
      </c>
      <c r="I26" s="157">
        <f>G26/G59*100</f>
        <v>0.3062005613676958</v>
      </c>
      <c r="J26" s="156" t="s">
        <v>89</v>
      </c>
      <c r="K26" s="158"/>
      <c r="L26" s="159">
        <f>10+1</f>
        <v>11</v>
      </c>
      <c r="M26" s="154">
        <v>1</v>
      </c>
      <c r="N26" s="154">
        <v>1</v>
      </c>
      <c r="O26" s="155">
        <f t="shared" si="1"/>
        <v>12</v>
      </c>
      <c r="P26" s="156" t="s">
        <v>88</v>
      </c>
      <c r="Q26" s="157">
        <f>O26/O59*100</f>
        <v>0.31233732431025507</v>
      </c>
      <c r="R26" s="156" t="s">
        <v>89</v>
      </c>
    </row>
    <row r="27" spans="3:18" ht="15.75" customHeight="1" thickBot="1">
      <c r="C27" s="174" t="s">
        <v>97</v>
      </c>
      <c r="D27" s="175">
        <f>SUM(D24:D26)</f>
        <v>62</v>
      </c>
      <c r="E27" s="176">
        <f>SUM(E24:E26)</f>
        <v>3</v>
      </c>
      <c r="F27" s="176">
        <v>2</v>
      </c>
      <c r="G27" s="163">
        <f t="shared" si="0"/>
        <v>65</v>
      </c>
      <c r="H27" s="163" t="s">
        <v>88</v>
      </c>
      <c r="I27" s="164">
        <f>G27/G59*100</f>
        <v>0.8292931870375095</v>
      </c>
      <c r="J27" s="163" t="s">
        <v>89</v>
      </c>
      <c r="K27" s="163"/>
      <c r="L27" s="163">
        <f>SUM(L24:L26)</f>
        <v>36</v>
      </c>
      <c r="M27" s="163">
        <f>SUM(M24:M26)</f>
        <v>2</v>
      </c>
      <c r="N27" s="163">
        <v>3</v>
      </c>
      <c r="O27" s="163">
        <f t="shared" si="1"/>
        <v>38</v>
      </c>
      <c r="P27" s="165" t="s">
        <v>88</v>
      </c>
      <c r="Q27" s="166">
        <f>O27/O59*100</f>
        <v>0.989068193649141</v>
      </c>
      <c r="R27" s="165" t="s">
        <v>89</v>
      </c>
    </row>
    <row r="28" spans="1:18" ht="15.75" customHeight="1">
      <c r="A28" s="41" t="s">
        <v>113</v>
      </c>
      <c r="B28" s="167">
        <v>21</v>
      </c>
      <c r="C28" s="41" t="s">
        <v>114</v>
      </c>
      <c r="D28" s="168">
        <f>36+0</f>
        <v>36</v>
      </c>
      <c r="E28" s="169">
        <v>3</v>
      </c>
      <c r="F28" s="169">
        <v>0</v>
      </c>
      <c r="G28" s="170">
        <f t="shared" si="0"/>
        <v>39</v>
      </c>
      <c r="H28" s="156" t="s">
        <v>88</v>
      </c>
      <c r="I28" s="171">
        <f>G28/G59*100</f>
        <v>0.4975759122225057</v>
      </c>
      <c r="J28" s="156" t="s">
        <v>89</v>
      </c>
      <c r="K28" s="156"/>
      <c r="L28" s="172">
        <f>36+1</f>
        <v>37</v>
      </c>
      <c r="M28" s="154">
        <v>1</v>
      </c>
      <c r="N28" s="154">
        <v>1</v>
      </c>
      <c r="O28" s="170">
        <f t="shared" si="1"/>
        <v>38</v>
      </c>
      <c r="P28" s="156" t="s">
        <v>88</v>
      </c>
      <c r="Q28" s="171">
        <f>O28/O59*100</f>
        <v>0.989068193649141</v>
      </c>
      <c r="R28" s="156" t="s">
        <v>89</v>
      </c>
    </row>
    <row r="29" spans="2:18" ht="15.75" customHeight="1">
      <c r="B29" s="133">
        <v>22</v>
      </c>
      <c r="C29" t="s">
        <v>115</v>
      </c>
      <c r="D29" s="110">
        <f>182+5</f>
        <v>187</v>
      </c>
      <c r="E29" s="154">
        <v>2</v>
      </c>
      <c r="F29" s="154">
        <v>5</v>
      </c>
      <c r="G29" s="155">
        <f t="shared" si="0"/>
        <v>189</v>
      </c>
      <c r="H29" s="156" t="s">
        <v>88</v>
      </c>
      <c r="I29" s="157">
        <f>G29/G59*100</f>
        <v>2.411329420770605</v>
      </c>
      <c r="J29" s="156" t="s">
        <v>89</v>
      </c>
      <c r="K29" s="158"/>
      <c r="L29" s="159">
        <f>103+1</f>
        <v>104</v>
      </c>
      <c r="M29" s="154">
        <v>2</v>
      </c>
      <c r="N29" s="154">
        <v>1</v>
      </c>
      <c r="O29" s="155">
        <f t="shared" si="1"/>
        <v>106</v>
      </c>
      <c r="P29" s="156" t="s">
        <v>88</v>
      </c>
      <c r="Q29" s="157">
        <f>O29/O59*100</f>
        <v>2.7589796980739196</v>
      </c>
      <c r="R29" s="156" t="s">
        <v>89</v>
      </c>
    </row>
    <row r="30" spans="2:18" ht="15.75" customHeight="1">
      <c r="B30" s="133">
        <v>23</v>
      </c>
      <c r="C30" t="s">
        <v>116</v>
      </c>
      <c r="D30" s="110">
        <f>344+19</f>
        <v>363</v>
      </c>
      <c r="E30" s="154">
        <v>20</v>
      </c>
      <c r="F30" s="154">
        <v>19</v>
      </c>
      <c r="G30" s="155">
        <f t="shared" si="0"/>
        <v>383</v>
      </c>
      <c r="H30" s="156" t="s">
        <v>88</v>
      </c>
      <c r="I30" s="157">
        <f>G30/G59*100</f>
        <v>4.88645062515948</v>
      </c>
      <c r="J30" s="156" t="s">
        <v>89</v>
      </c>
      <c r="K30" s="158"/>
      <c r="L30" s="159">
        <f>147+5</f>
        <v>152</v>
      </c>
      <c r="M30" s="154">
        <v>9</v>
      </c>
      <c r="N30" s="154">
        <v>5</v>
      </c>
      <c r="O30" s="155">
        <f t="shared" si="1"/>
        <v>161</v>
      </c>
      <c r="P30" s="156" t="s">
        <v>88</v>
      </c>
      <c r="Q30" s="157">
        <f>O30/O59*100</f>
        <v>4.190525767829255</v>
      </c>
      <c r="R30" s="156" t="s">
        <v>89</v>
      </c>
    </row>
    <row r="31" spans="2:18" ht="15.75" customHeight="1">
      <c r="B31" s="133">
        <v>24</v>
      </c>
      <c r="C31" t="s">
        <v>117</v>
      </c>
      <c r="D31" s="110">
        <f>84+0</f>
        <v>84</v>
      </c>
      <c r="E31" s="154">
        <v>0</v>
      </c>
      <c r="F31" s="154">
        <v>0</v>
      </c>
      <c r="G31" s="155">
        <f t="shared" si="0"/>
        <v>84</v>
      </c>
      <c r="H31" s="156" t="s">
        <v>88</v>
      </c>
      <c r="I31" s="157">
        <f>G31/G59*100</f>
        <v>1.0717019647869355</v>
      </c>
      <c r="J31" s="156" t="s">
        <v>89</v>
      </c>
      <c r="K31" s="158"/>
      <c r="L31" s="159">
        <f>39+0</f>
        <v>39</v>
      </c>
      <c r="M31" s="154">
        <v>0</v>
      </c>
      <c r="N31" s="154">
        <v>0</v>
      </c>
      <c r="O31" s="155">
        <f t="shared" si="1"/>
        <v>39</v>
      </c>
      <c r="P31" s="156" t="s">
        <v>88</v>
      </c>
      <c r="Q31" s="157">
        <f>O31/O59*100</f>
        <v>1.015096304008329</v>
      </c>
      <c r="R31" s="156" t="s">
        <v>89</v>
      </c>
    </row>
    <row r="32" spans="3:18" ht="15.75" customHeight="1" thickBot="1">
      <c r="C32" s="174" t="s">
        <v>97</v>
      </c>
      <c r="D32" s="175">
        <f>SUM(D28:D31)</f>
        <v>670</v>
      </c>
      <c r="E32" s="176">
        <f>SUM(E28:E31)</f>
        <v>25</v>
      </c>
      <c r="F32" s="176">
        <v>24</v>
      </c>
      <c r="G32" s="163">
        <f t="shared" si="0"/>
        <v>695</v>
      </c>
      <c r="H32" s="163" t="s">
        <v>88</v>
      </c>
      <c r="I32" s="164">
        <f>G32/G59*100</f>
        <v>8.867057922939525</v>
      </c>
      <c r="J32" s="163" t="s">
        <v>89</v>
      </c>
      <c r="K32" s="163"/>
      <c r="L32" s="163">
        <f>SUM(L28:L31)</f>
        <v>332</v>
      </c>
      <c r="M32" s="163">
        <f>SUM(M28:M31)</f>
        <v>12</v>
      </c>
      <c r="N32" s="163">
        <v>7</v>
      </c>
      <c r="O32" s="163">
        <f t="shared" si="1"/>
        <v>344</v>
      </c>
      <c r="P32" s="165" t="s">
        <v>88</v>
      </c>
      <c r="Q32" s="166">
        <f>O32/O59*100</f>
        <v>8.953669963560646</v>
      </c>
      <c r="R32" s="165" t="s">
        <v>89</v>
      </c>
    </row>
    <row r="33" spans="1:18" ht="15.75" customHeight="1">
      <c r="A33" s="41" t="s">
        <v>118</v>
      </c>
      <c r="B33" s="167">
        <v>25</v>
      </c>
      <c r="C33" s="41" t="s">
        <v>119</v>
      </c>
      <c r="D33" s="168">
        <f>27+0</f>
        <v>27</v>
      </c>
      <c r="E33" s="169">
        <v>4</v>
      </c>
      <c r="F33" s="169">
        <v>0</v>
      </c>
      <c r="G33" s="170">
        <f t="shared" si="0"/>
        <v>31</v>
      </c>
      <c r="H33" s="156" t="s">
        <v>88</v>
      </c>
      <c r="I33" s="171">
        <f>G33/G59*100</f>
        <v>0.39550905843327383</v>
      </c>
      <c r="J33" s="156" t="s">
        <v>89</v>
      </c>
      <c r="K33" s="156"/>
      <c r="L33" s="172">
        <f>22+2</f>
        <v>24</v>
      </c>
      <c r="M33" s="154">
        <v>1</v>
      </c>
      <c r="N33" s="154">
        <v>2</v>
      </c>
      <c r="O33" s="170">
        <f t="shared" si="1"/>
        <v>25</v>
      </c>
      <c r="P33" s="156" t="s">
        <v>88</v>
      </c>
      <c r="Q33" s="171">
        <f>O33/O59*100</f>
        <v>0.6507027589796981</v>
      </c>
      <c r="R33" s="156" t="s">
        <v>89</v>
      </c>
    </row>
    <row r="34" spans="2:18" ht="15.75" customHeight="1">
      <c r="B34" s="133">
        <v>26</v>
      </c>
      <c r="C34" t="s">
        <v>120</v>
      </c>
      <c r="D34" s="110">
        <f>94+2</f>
        <v>96</v>
      </c>
      <c r="E34" s="154">
        <v>7</v>
      </c>
      <c r="F34" s="154">
        <v>2</v>
      </c>
      <c r="G34" s="155">
        <f t="shared" si="0"/>
        <v>103</v>
      </c>
      <c r="H34" s="156" t="s">
        <v>88</v>
      </c>
      <c r="I34" s="157">
        <f>G34/G59*100</f>
        <v>1.3141107425363614</v>
      </c>
      <c r="J34" s="156" t="s">
        <v>89</v>
      </c>
      <c r="K34" s="158"/>
      <c r="L34" s="159">
        <f>41+3</f>
        <v>44</v>
      </c>
      <c r="M34" s="154">
        <v>2</v>
      </c>
      <c r="N34" s="154">
        <v>3</v>
      </c>
      <c r="O34" s="155">
        <f t="shared" si="1"/>
        <v>46</v>
      </c>
      <c r="P34" s="156" t="s">
        <v>88</v>
      </c>
      <c r="Q34" s="157">
        <f>O34/O59*100</f>
        <v>1.1972930765226444</v>
      </c>
      <c r="R34" s="156" t="s">
        <v>89</v>
      </c>
    </row>
    <row r="35" spans="2:18" ht="15.75" customHeight="1">
      <c r="B35" s="133">
        <v>27</v>
      </c>
      <c r="C35" t="s">
        <v>121</v>
      </c>
      <c r="D35" s="110">
        <f>670+21</f>
        <v>691</v>
      </c>
      <c r="E35" s="154">
        <v>33</v>
      </c>
      <c r="F35" s="154">
        <v>21</v>
      </c>
      <c r="G35" s="155">
        <f t="shared" si="0"/>
        <v>724</v>
      </c>
      <c r="H35" s="156" t="s">
        <v>88</v>
      </c>
      <c r="I35" s="157">
        <f>G35/G59*100</f>
        <v>9.237050267925492</v>
      </c>
      <c r="J35" s="156" t="s">
        <v>89</v>
      </c>
      <c r="K35" s="158"/>
      <c r="L35" s="159">
        <f>215+3</f>
        <v>218</v>
      </c>
      <c r="M35" s="154">
        <v>7</v>
      </c>
      <c r="N35" s="154">
        <v>3</v>
      </c>
      <c r="O35" s="155">
        <f t="shared" si="1"/>
        <v>225</v>
      </c>
      <c r="P35" s="156" t="s">
        <v>88</v>
      </c>
      <c r="Q35" s="157">
        <f>O35/O59*100</f>
        <v>5.856324830817282</v>
      </c>
      <c r="R35" s="156" t="s">
        <v>89</v>
      </c>
    </row>
    <row r="36" spans="2:18" ht="15.75" customHeight="1">
      <c r="B36" s="133">
        <v>28</v>
      </c>
      <c r="C36" t="s">
        <v>122</v>
      </c>
      <c r="D36" s="110">
        <f>118+7</f>
        <v>125</v>
      </c>
      <c r="E36" s="154">
        <v>6</v>
      </c>
      <c r="F36" s="154">
        <v>7</v>
      </c>
      <c r="G36" s="155">
        <f t="shared" si="0"/>
        <v>131</v>
      </c>
      <c r="H36" s="156" t="s">
        <v>88</v>
      </c>
      <c r="I36" s="157">
        <f>G36/G59*100</f>
        <v>1.6713447307986733</v>
      </c>
      <c r="J36" s="156" t="s">
        <v>89</v>
      </c>
      <c r="K36" s="158"/>
      <c r="L36" s="159">
        <f>66+3</f>
        <v>69</v>
      </c>
      <c r="M36" s="154">
        <v>5</v>
      </c>
      <c r="N36" s="154">
        <v>3</v>
      </c>
      <c r="O36" s="155">
        <f t="shared" si="1"/>
        <v>74</v>
      </c>
      <c r="P36" s="156" t="s">
        <v>88</v>
      </c>
      <c r="Q36" s="157">
        <f>O36/O59*100</f>
        <v>1.9260801665799063</v>
      </c>
      <c r="R36" s="156" t="s">
        <v>89</v>
      </c>
    </row>
    <row r="37" spans="2:18" ht="15.75" customHeight="1">
      <c r="B37" s="133">
        <v>29</v>
      </c>
      <c r="C37" t="s">
        <v>123</v>
      </c>
      <c r="D37" s="110">
        <f>39+3</f>
        <v>42</v>
      </c>
      <c r="E37" s="154">
        <v>2</v>
      </c>
      <c r="F37" s="154">
        <v>3</v>
      </c>
      <c r="G37" s="155">
        <f aca="true" t="shared" si="2" ref="G37:G58">D37+E37</f>
        <v>44</v>
      </c>
      <c r="H37" s="156" t="s">
        <v>88</v>
      </c>
      <c r="I37" s="157">
        <f>G37/G59*100</f>
        <v>0.5613676958407757</v>
      </c>
      <c r="J37" s="156" t="s">
        <v>89</v>
      </c>
      <c r="K37" s="158"/>
      <c r="L37" s="159">
        <f>23+1</f>
        <v>24</v>
      </c>
      <c r="M37" s="154">
        <v>1</v>
      </c>
      <c r="N37" s="154">
        <v>1</v>
      </c>
      <c r="O37" s="155">
        <f aca="true" t="shared" si="3" ref="O37:O58">SUM(L37:M37)</f>
        <v>25</v>
      </c>
      <c r="P37" s="156" t="s">
        <v>88</v>
      </c>
      <c r="Q37" s="157">
        <f>O37/O59*100</f>
        <v>0.6507027589796981</v>
      </c>
      <c r="R37" s="156" t="s">
        <v>89</v>
      </c>
    </row>
    <row r="38" spans="2:18" ht="15.75" customHeight="1">
      <c r="B38" s="133">
        <v>30</v>
      </c>
      <c r="C38" t="s">
        <v>124</v>
      </c>
      <c r="D38" s="110">
        <f>22+0</f>
        <v>22</v>
      </c>
      <c r="E38" s="154">
        <v>0</v>
      </c>
      <c r="F38" s="154">
        <v>0</v>
      </c>
      <c r="G38" s="155">
        <f t="shared" si="2"/>
        <v>22</v>
      </c>
      <c r="H38" s="156" t="s">
        <v>88</v>
      </c>
      <c r="I38" s="157">
        <f>G38/G59*100</f>
        <v>0.28068384792038786</v>
      </c>
      <c r="J38" s="156" t="s">
        <v>89</v>
      </c>
      <c r="K38" s="158"/>
      <c r="L38" s="159">
        <f>24+0</f>
        <v>24</v>
      </c>
      <c r="M38" s="154">
        <v>0</v>
      </c>
      <c r="N38" s="154">
        <v>0</v>
      </c>
      <c r="O38" s="155">
        <f t="shared" si="3"/>
        <v>24</v>
      </c>
      <c r="P38" s="156" t="s">
        <v>88</v>
      </c>
      <c r="Q38" s="157">
        <f>O38/O59*100</f>
        <v>0.6246746486205101</v>
      </c>
      <c r="R38" s="156" t="s">
        <v>89</v>
      </c>
    </row>
    <row r="39" spans="3:18" ht="15.75" customHeight="1" thickBot="1">
      <c r="C39" s="174" t="s">
        <v>97</v>
      </c>
      <c r="D39" s="175">
        <f>SUM(D33:D38)</f>
        <v>1003</v>
      </c>
      <c r="E39" s="176">
        <f>SUM(E33:E38)</f>
        <v>52</v>
      </c>
      <c r="F39" s="176">
        <v>33</v>
      </c>
      <c r="G39" s="163">
        <f t="shared" si="2"/>
        <v>1055</v>
      </c>
      <c r="H39" s="163" t="s">
        <v>88</v>
      </c>
      <c r="I39" s="164">
        <f>G39/G59*100</f>
        <v>13.460066343454963</v>
      </c>
      <c r="J39" s="163" t="s">
        <v>89</v>
      </c>
      <c r="K39" s="163"/>
      <c r="L39" s="163">
        <f>SUM(L33:L38)</f>
        <v>403</v>
      </c>
      <c r="M39" s="163">
        <f>SUM(M33:M38)</f>
        <v>16</v>
      </c>
      <c r="N39" s="163">
        <v>12</v>
      </c>
      <c r="O39" s="163">
        <f t="shared" si="3"/>
        <v>419</v>
      </c>
      <c r="P39" s="165" t="s">
        <v>88</v>
      </c>
      <c r="Q39" s="166">
        <f>O39/O59*100</f>
        <v>10.90577824049974</v>
      </c>
      <c r="R39" s="165" t="s">
        <v>89</v>
      </c>
    </row>
    <row r="40" spans="1:18" ht="15.75" customHeight="1">
      <c r="A40" s="41" t="s">
        <v>125</v>
      </c>
      <c r="B40" s="167">
        <v>31</v>
      </c>
      <c r="C40" s="41" t="s">
        <v>126</v>
      </c>
      <c r="D40" s="168">
        <f>4+1</f>
        <v>5</v>
      </c>
      <c r="E40" s="169">
        <v>0</v>
      </c>
      <c r="F40" s="169">
        <v>1</v>
      </c>
      <c r="G40" s="170">
        <f t="shared" si="2"/>
        <v>5</v>
      </c>
      <c r="H40" s="156" t="s">
        <v>88</v>
      </c>
      <c r="I40" s="171">
        <f>G40/G59*100</f>
        <v>0.06379178361826997</v>
      </c>
      <c r="J40" s="156" t="s">
        <v>89</v>
      </c>
      <c r="K40" s="156"/>
      <c r="L40" s="172">
        <f>3+0</f>
        <v>3</v>
      </c>
      <c r="M40" s="154">
        <v>1</v>
      </c>
      <c r="N40" s="154">
        <v>0</v>
      </c>
      <c r="O40" s="170">
        <f t="shared" si="3"/>
        <v>4</v>
      </c>
      <c r="P40" s="156" t="s">
        <v>88</v>
      </c>
      <c r="Q40" s="171">
        <f>O40/O59*100</f>
        <v>0.10411244143675169</v>
      </c>
      <c r="R40" s="156" t="s">
        <v>89</v>
      </c>
    </row>
    <row r="41" spans="2:18" ht="15.75" customHeight="1">
      <c r="B41" s="133">
        <v>32</v>
      </c>
      <c r="C41" t="s">
        <v>127</v>
      </c>
      <c r="D41" s="110">
        <f>7+1</f>
        <v>8</v>
      </c>
      <c r="E41" s="154">
        <v>0</v>
      </c>
      <c r="F41" s="154">
        <v>1</v>
      </c>
      <c r="G41" s="155">
        <f t="shared" si="2"/>
        <v>8</v>
      </c>
      <c r="H41" s="156" t="s">
        <v>88</v>
      </c>
      <c r="I41" s="157">
        <f>G41/G59*100</f>
        <v>0.10206685378923194</v>
      </c>
      <c r="J41" s="156" t="s">
        <v>89</v>
      </c>
      <c r="K41" s="158"/>
      <c r="L41" s="159">
        <f>3+0</f>
        <v>3</v>
      </c>
      <c r="M41" s="154">
        <v>0</v>
      </c>
      <c r="N41" s="154">
        <v>0</v>
      </c>
      <c r="O41" s="155">
        <f t="shared" si="3"/>
        <v>3</v>
      </c>
      <c r="P41" s="156" t="s">
        <v>88</v>
      </c>
      <c r="Q41" s="157">
        <f>O41/O59*100</f>
        <v>0.07808433107756377</v>
      </c>
      <c r="R41" s="156" t="s">
        <v>89</v>
      </c>
    </row>
    <row r="42" spans="2:18" ht="15.75" customHeight="1">
      <c r="B42" s="133">
        <v>33</v>
      </c>
      <c r="C42" t="s">
        <v>128</v>
      </c>
      <c r="D42" s="110">
        <f>25+2</f>
        <v>27</v>
      </c>
      <c r="E42" s="154">
        <v>0</v>
      </c>
      <c r="F42" s="154">
        <v>2</v>
      </c>
      <c r="G42" s="155">
        <f t="shared" si="2"/>
        <v>27</v>
      </c>
      <c r="H42" s="156" t="s">
        <v>88</v>
      </c>
      <c r="I42" s="157">
        <f>G42/G59*100</f>
        <v>0.3444756315386578</v>
      </c>
      <c r="J42" s="156" t="s">
        <v>89</v>
      </c>
      <c r="K42" s="158"/>
      <c r="L42" s="159">
        <f>19+0</f>
        <v>19</v>
      </c>
      <c r="M42" s="154">
        <v>2</v>
      </c>
      <c r="N42" s="154">
        <v>0</v>
      </c>
      <c r="O42" s="155">
        <f t="shared" si="3"/>
        <v>21</v>
      </c>
      <c r="P42" s="156" t="s">
        <v>88</v>
      </c>
      <c r="Q42" s="157">
        <f>O42/O59*100</f>
        <v>0.5465903175429464</v>
      </c>
      <c r="R42" s="156" t="s">
        <v>89</v>
      </c>
    </row>
    <row r="43" spans="2:18" ht="15.75" customHeight="1">
      <c r="B43" s="133">
        <v>34</v>
      </c>
      <c r="C43" t="s">
        <v>129</v>
      </c>
      <c r="D43" s="110">
        <f>60+1</f>
        <v>61</v>
      </c>
      <c r="E43" s="154">
        <v>3</v>
      </c>
      <c r="F43" s="154">
        <v>1</v>
      </c>
      <c r="G43" s="155">
        <f t="shared" si="2"/>
        <v>64</v>
      </c>
      <c r="H43" s="156" t="s">
        <v>88</v>
      </c>
      <c r="I43" s="157">
        <f>G43/G59*100</f>
        <v>0.8165348303138555</v>
      </c>
      <c r="J43" s="156" t="s">
        <v>89</v>
      </c>
      <c r="K43" s="158"/>
      <c r="L43" s="159">
        <f>21+0</f>
        <v>21</v>
      </c>
      <c r="M43" s="154">
        <v>1</v>
      </c>
      <c r="N43" s="154">
        <v>0</v>
      </c>
      <c r="O43" s="155">
        <f t="shared" si="3"/>
        <v>22</v>
      </c>
      <c r="P43" s="156" t="s">
        <v>88</v>
      </c>
      <c r="Q43" s="157">
        <f>O43/O59*100</f>
        <v>0.5726184279021342</v>
      </c>
      <c r="R43" s="156" t="s">
        <v>89</v>
      </c>
    </row>
    <row r="44" spans="2:18" ht="15.75" customHeight="1">
      <c r="B44" s="133">
        <v>35</v>
      </c>
      <c r="C44" t="s">
        <v>130</v>
      </c>
      <c r="D44" s="110">
        <f>14+1</f>
        <v>15</v>
      </c>
      <c r="E44" s="154">
        <v>2</v>
      </c>
      <c r="F44" s="154">
        <v>1</v>
      </c>
      <c r="G44" s="155">
        <f t="shared" si="2"/>
        <v>17</v>
      </c>
      <c r="H44" s="156" t="s">
        <v>88</v>
      </c>
      <c r="I44" s="157">
        <f>G44/G59*100</f>
        <v>0.21689206430211788</v>
      </c>
      <c r="J44" s="156" t="s">
        <v>89</v>
      </c>
      <c r="K44" s="158"/>
      <c r="L44" s="159">
        <f>7+0</f>
        <v>7</v>
      </c>
      <c r="M44" s="154">
        <v>0</v>
      </c>
      <c r="N44" s="154">
        <v>0</v>
      </c>
      <c r="O44" s="155">
        <f t="shared" si="3"/>
        <v>7</v>
      </c>
      <c r="P44" s="156" t="s">
        <v>88</v>
      </c>
      <c r="Q44" s="157">
        <f>O44/O59*100</f>
        <v>0.18219677251431546</v>
      </c>
      <c r="R44" s="156" t="s">
        <v>89</v>
      </c>
    </row>
    <row r="45" spans="2:18" ht="15.75" customHeight="1">
      <c r="B45" s="133">
        <v>36</v>
      </c>
      <c r="C45" t="s">
        <v>131</v>
      </c>
      <c r="D45" s="110">
        <f>6+0</f>
        <v>6</v>
      </c>
      <c r="E45" s="154">
        <v>0</v>
      </c>
      <c r="F45" s="154">
        <v>0</v>
      </c>
      <c r="G45" s="155">
        <f t="shared" si="2"/>
        <v>6</v>
      </c>
      <c r="H45" s="156" t="s">
        <v>88</v>
      </c>
      <c r="I45" s="157">
        <f>G45/G59*100</f>
        <v>0.07655014034192395</v>
      </c>
      <c r="J45" s="156" t="s">
        <v>89</v>
      </c>
      <c r="K45" s="158"/>
      <c r="L45" s="159">
        <f>7+0</f>
        <v>7</v>
      </c>
      <c r="M45" s="154">
        <v>0</v>
      </c>
      <c r="N45" s="154">
        <v>0</v>
      </c>
      <c r="O45" s="155">
        <f t="shared" si="3"/>
        <v>7</v>
      </c>
      <c r="P45" s="156" t="s">
        <v>88</v>
      </c>
      <c r="Q45" s="157">
        <f>O45/O59*100</f>
        <v>0.18219677251431546</v>
      </c>
      <c r="R45" s="156" t="s">
        <v>89</v>
      </c>
    </row>
    <row r="46" spans="2:18" ht="15.75" customHeight="1">
      <c r="B46" s="133">
        <v>37</v>
      </c>
      <c r="C46" t="s">
        <v>132</v>
      </c>
      <c r="D46" s="110">
        <f>15+0</f>
        <v>15</v>
      </c>
      <c r="E46" s="154">
        <v>0</v>
      </c>
      <c r="F46" s="154">
        <v>0</v>
      </c>
      <c r="G46" s="155">
        <f t="shared" si="2"/>
        <v>15</v>
      </c>
      <c r="H46" s="156" t="s">
        <v>88</v>
      </c>
      <c r="I46" s="157">
        <f>G46/G59*100</f>
        <v>0.19137535085480992</v>
      </c>
      <c r="J46" s="156" t="s">
        <v>89</v>
      </c>
      <c r="K46" s="158"/>
      <c r="L46" s="159">
        <f>10+1</f>
        <v>11</v>
      </c>
      <c r="M46" s="154">
        <v>0</v>
      </c>
      <c r="N46" s="154">
        <v>1</v>
      </c>
      <c r="O46" s="155">
        <f t="shared" si="3"/>
        <v>11</v>
      </c>
      <c r="P46" s="156" t="s">
        <v>88</v>
      </c>
      <c r="Q46" s="157">
        <f>O46/O59*100</f>
        <v>0.2863092139510671</v>
      </c>
      <c r="R46" s="156" t="s">
        <v>89</v>
      </c>
    </row>
    <row r="47" spans="2:18" ht="15.75" customHeight="1">
      <c r="B47" s="133">
        <v>38</v>
      </c>
      <c r="C47" t="s">
        <v>133</v>
      </c>
      <c r="D47" s="110">
        <f>31+0</f>
        <v>31</v>
      </c>
      <c r="E47" s="154">
        <v>3</v>
      </c>
      <c r="F47" s="154">
        <v>0</v>
      </c>
      <c r="G47" s="155">
        <f t="shared" si="2"/>
        <v>34</v>
      </c>
      <c r="H47" s="156" t="s">
        <v>88</v>
      </c>
      <c r="I47" s="157">
        <f>G47/G59*100</f>
        <v>0.43378412860423576</v>
      </c>
      <c r="J47" s="156" t="s">
        <v>89</v>
      </c>
      <c r="K47" s="158"/>
      <c r="L47" s="159">
        <f>21+0</f>
        <v>21</v>
      </c>
      <c r="M47" s="154">
        <v>1</v>
      </c>
      <c r="N47" s="154">
        <v>0</v>
      </c>
      <c r="O47" s="155">
        <f t="shared" si="3"/>
        <v>22</v>
      </c>
      <c r="P47" s="156" t="s">
        <v>88</v>
      </c>
      <c r="Q47" s="157">
        <f>O47/O59*100</f>
        <v>0.5726184279021342</v>
      </c>
      <c r="R47" s="156" t="s">
        <v>89</v>
      </c>
    </row>
    <row r="48" spans="2:18" ht="15.75" customHeight="1">
      <c r="B48" s="133">
        <v>39</v>
      </c>
      <c r="C48" t="s">
        <v>134</v>
      </c>
      <c r="D48" s="110">
        <f>14+2</f>
        <v>16</v>
      </c>
      <c r="E48" s="154">
        <v>0</v>
      </c>
      <c r="F48" s="154">
        <v>2</v>
      </c>
      <c r="G48" s="155">
        <f t="shared" si="2"/>
        <v>16</v>
      </c>
      <c r="H48" s="156" t="s">
        <v>88</v>
      </c>
      <c r="I48" s="157">
        <f>G48/G59*100</f>
        <v>0.20413370757846389</v>
      </c>
      <c r="J48" s="156" t="s">
        <v>89</v>
      </c>
      <c r="K48" s="158"/>
      <c r="L48" s="159">
        <f>7+0</f>
        <v>7</v>
      </c>
      <c r="M48" s="154">
        <v>1</v>
      </c>
      <c r="N48" s="154">
        <v>0</v>
      </c>
      <c r="O48" s="155">
        <f t="shared" si="3"/>
        <v>8</v>
      </c>
      <c r="P48" s="156" t="s">
        <v>88</v>
      </c>
      <c r="Q48" s="157">
        <f>O48/O59*100</f>
        <v>0.20822488287350338</v>
      </c>
      <c r="R48" s="156" t="s">
        <v>89</v>
      </c>
    </row>
    <row r="49" spans="3:18" ht="15.75" customHeight="1" thickBot="1">
      <c r="C49" s="174" t="s">
        <v>97</v>
      </c>
      <c r="D49" s="175">
        <f>SUM(D40:D48)</f>
        <v>184</v>
      </c>
      <c r="E49" s="176">
        <f>SUM(E40:E48)</f>
        <v>8</v>
      </c>
      <c r="F49" s="176">
        <v>8</v>
      </c>
      <c r="G49" s="163">
        <f t="shared" si="2"/>
        <v>192</v>
      </c>
      <c r="H49" s="163" t="s">
        <v>88</v>
      </c>
      <c r="I49" s="164">
        <f>G49/G59*100</f>
        <v>2.4496044909415664</v>
      </c>
      <c r="J49" s="163" t="s">
        <v>89</v>
      </c>
      <c r="K49" s="163"/>
      <c r="L49" s="163">
        <f>SUM(L40:L48)</f>
        <v>99</v>
      </c>
      <c r="M49" s="163">
        <f>SUM(M40:M48)</f>
        <v>6</v>
      </c>
      <c r="N49" s="163">
        <v>1</v>
      </c>
      <c r="O49" s="163">
        <f t="shared" si="3"/>
        <v>105</v>
      </c>
      <c r="P49" s="165" t="s">
        <v>88</v>
      </c>
      <c r="Q49" s="166">
        <f>O49/O59*100</f>
        <v>2.732951587714732</v>
      </c>
      <c r="R49" s="165" t="s">
        <v>89</v>
      </c>
    </row>
    <row r="50" spans="1:18" ht="15.75" customHeight="1">
      <c r="A50" s="41" t="s">
        <v>135</v>
      </c>
      <c r="B50" s="167">
        <v>40</v>
      </c>
      <c r="C50" s="41" t="s">
        <v>136</v>
      </c>
      <c r="D50" s="168">
        <f>107+1</f>
        <v>108</v>
      </c>
      <c r="E50" s="169">
        <v>3</v>
      </c>
      <c r="F50" s="169">
        <v>1</v>
      </c>
      <c r="G50" s="170">
        <f t="shared" si="2"/>
        <v>111</v>
      </c>
      <c r="H50" s="156" t="s">
        <v>88</v>
      </c>
      <c r="I50" s="171">
        <f>G50/G59*100</f>
        <v>1.4161775963255934</v>
      </c>
      <c r="J50" s="156" t="s">
        <v>89</v>
      </c>
      <c r="K50" s="156"/>
      <c r="L50" s="172">
        <f>51+0</f>
        <v>51</v>
      </c>
      <c r="M50" s="154">
        <v>3</v>
      </c>
      <c r="N50" s="154">
        <v>0</v>
      </c>
      <c r="O50" s="170">
        <f t="shared" si="3"/>
        <v>54</v>
      </c>
      <c r="P50" s="156" t="s">
        <v>88</v>
      </c>
      <c r="Q50" s="171">
        <f>O50/O59*100</f>
        <v>1.4055179593961478</v>
      </c>
      <c r="R50" s="156" t="s">
        <v>89</v>
      </c>
    </row>
    <row r="51" spans="2:18" ht="15.75" customHeight="1">
      <c r="B51" s="133">
        <v>41</v>
      </c>
      <c r="C51" t="s">
        <v>137</v>
      </c>
      <c r="D51" s="110">
        <f>4+0</f>
        <v>4</v>
      </c>
      <c r="E51" s="154">
        <v>0</v>
      </c>
      <c r="F51" s="154">
        <v>0</v>
      </c>
      <c r="G51" s="155">
        <f t="shared" si="2"/>
        <v>4</v>
      </c>
      <c r="H51" s="156" t="s">
        <v>88</v>
      </c>
      <c r="I51" s="157">
        <f>G51/G59*100</f>
        <v>0.05103342689461597</v>
      </c>
      <c r="J51" s="156" t="s">
        <v>89</v>
      </c>
      <c r="K51" s="158"/>
      <c r="L51" s="159">
        <f>3+0</f>
        <v>3</v>
      </c>
      <c r="M51" s="154">
        <v>0</v>
      </c>
      <c r="N51" s="154">
        <v>0</v>
      </c>
      <c r="O51" s="155">
        <f t="shared" si="3"/>
        <v>3</v>
      </c>
      <c r="P51" s="156" t="s">
        <v>88</v>
      </c>
      <c r="Q51" s="157">
        <f>O51/O59*100</f>
        <v>0.07808433107756377</v>
      </c>
      <c r="R51" s="156" t="s">
        <v>89</v>
      </c>
    </row>
    <row r="52" spans="2:18" ht="15.75" customHeight="1">
      <c r="B52" s="133">
        <v>42</v>
      </c>
      <c r="C52" t="s">
        <v>138</v>
      </c>
      <c r="D52" s="110">
        <f>15+1</f>
        <v>16</v>
      </c>
      <c r="E52" s="154">
        <v>0</v>
      </c>
      <c r="F52" s="154">
        <v>1</v>
      </c>
      <c r="G52" s="155">
        <f t="shared" si="2"/>
        <v>16</v>
      </c>
      <c r="H52" s="156" t="s">
        <v>88</v>
      </c>
      <c r="I52" s="157">
        <f>G52/G59*100</f>
        <v>0.20413370757846389</v>
      </c>
      <c r="J52" s="156" t="s">
        <v>89</v>
      </c>
      <c r="K52" s="158"/>
      <c r="L52" s="159">
        <f>11+0</f>
        <v>11</v>
      </c>
      <c r="M52" s="154">
        <v>0</v>
      </c>
      <c r="N52" s="154">
        <v>0</v>
      </c>
      <c r="O52" s="155">
        <f t="shared" si="3"/>
        <v>11</v>
      </c>
      <c r="P52" s="156" t="s">
        <v>88</v>
      </c>
      <c r="Q52" s="157">
        <f>O52/O59*100</f>
        <v>0.2863092139510671</v>
      </c>
      <c r="R52" s="156" t="s">
        <v>89</v>
      </c>
    </row>
    <row r="53" spans="2:18" ht="15.75" customHeight="1">
      <c r="B53" s="133">
        <v>43</v>
      </c>
      <c r="C53" t="s">
        <v>139</v>
      </c>
      <c r="D53" s="110">
        <f>24+0</f>
        <v>24</v>
      </c>
      <c r="E53" s="154">
        <v>1</v>
      </c>
      <c r="F53" s="154">
        <v>0</v>
      </c>
      <c r="G53" s="155">
        <f t="shared" si="2"/>
        <v>25</v>
      </c>
      <c r="H53" s="156" t="s">
        <v>88</v>
      </c>
      <c r="I53" s="157">
        <f>G53/G59*100</f>
        <v>0.3189589180913498</v>
      </c>
      <c r="J53" s="156" t="s">
        <v>89</v>
      </c>
      <c r="K53" s="158"/>
      <c r="L53" s="159">
        <f>13+0</f>
        <v>13</v>
      </c>
      <c r="M53" s="154">
        <v>0</v>
      </c>
      <c r="N53" s="154">
        <v>0</v>
      </c>
      <c r="O53" s="155">
        <f t="shared" si="3"/>
        <v>13</v>
      </c>
      <c r="P53" s="156" t="s">
        <v>88</v>
      </c>
      <c r="Q53" s="157">
        <f>O53/O59*100</f>
        <v>0.338365434669443</v>
      </c>
      <c r="R53" s="156" t="s">
        <v>89</v>
      </c>
    </row>
    <row r="54" spans="2:18" ht="15.75" customHeight="1">
      <c r="B54" s="133">
        <v>44</v>
      </c>
      <c r="C54" t="s">
        <v>140</v>
      </c>
      <c r="D54" s="110">
        <f>13+0</f>
        <v>13</v>
      </c>
      <c r="E54" s="154">
        <v>0</v>
      </c>
      <c r="F54" s="154">
        <v>0</v>
      </c>
      <c r="G54" s="155">
        <f t="shared" si="2"/>
        <v>13</v>
      </c>
      <c r="H54" s="156" t="s">
        <v>88</v>
      </c>
      <c r="I54" s="157">
        <f>G54/G59*100</f>
        <v>0.1658586374075019</v>
      </c>
      <c r="J54" s="156" t="s">
        <v>89</v>
      </c>
      <c r="K54" s="158"/>
      <c r="L54" s="159">
        <f>8+0</f>
        <v>8</v>
      </c>
      <c r="M54" s="154">
        <v>0</v>
      </c>
      <c r="N54" s="154">
        <v>0</v>
      </c>
      <c r="O54" s="155">
        <f t="shared" si="3"/>
        <v>8</v>
      </c>
      <c r="P54" s="156" t="s">
        <v>88</v>
      </c>
      <c r="Q54" s="157">
        <f>O54/O59*100</f>
        <v>0.20822488287350338</v>
      </c>
      <c r="R54" s="156" t="s">
        <v>89</v>
      </c>
    </row>
    <row r="55" spans="2:18" ht="15.75" customHeight="1">
      <c r="B55" s="133">
        <v>45</v>
      </c>
      <c r="C55" t="s">
        <v>141</v>
      </c>
      <c r="D55" s="110">
        <f>11+1</f>
        <v>12</v>
      </c>
      <c r="E55" s="154">
        <v>1</v>
      </c>
      <c r="F55" s="154">
        <v>1</v>
      </c>
      <c r="G55" s="155">
        <f t="shared" si="2"/>
        <v>13</v>
      </c>
      <c r="H55" s="156" t="s">
        <v>88</v>
      </c>
      <c r="I55" s="157">
        <f>G55/G59*100</f>
        <v>0.1658586374075019</v>
      </c>
      <c r="J55" s="156" t="s">
        <v>89</v>
      </c>
      <c r="K55" s="158"/>
      <c r="L55" s="159">
        <f>9+1</f>
        <v>10</v>
      </c>
      <c r="M55" s="154">
        <v>0</v>
      </c>
      <c r="N55" s="154">
        <v>1</v>
      </c>
      <c r="O55" s="155">
        <f t="shared" si="3"/>
        <v>10</v>
      </c>
      <c r="P55" s="156" t="s">
        <v>88</v>
      </c>
      <c r="Q55" s="157">
        <f>O55/O59*100</f>
        <v>0.2602811035918792</v>
      </c>
      <c r="R55" s="156" t="s">
        <v>89</v>
      </c>
    </row>
    <row r="56" spans="2:18" ht="15.75" customHeight="1">
      <c r="B56" s="133">
        <v>46</v>
      </c>
      <c r="C56" t="s">
        <v>142</v>
      </c>
      <c r="D56" s="110">
        <f>23+1</f>
        <v>24</v>
      </c>
      <c r="E56" s="154">
        <v>0</v>
      </c>
      <c r="F56" s="154">
        <v>1</v>
      </c>
      <c r="G56" s="155">
        <f t="shared" si="2"/>
        <v>24</v>
      </c>
      <c r="H56" s="156" t="s">
        <v>88</v>
      </c>
      <c r="I56" s="157">
        <f>G56/G59*100</f>
        <v>0.3062005613676958</v>
      </c>
      <c r="J56" s="156" t="s">
        <v>89</v>
      </c>
      <c r="K56" s="158"/>
      <c r="L56" s="159">
        <f>15+1</f>
        <v>16</v>
      </c>
      <c r="M56" s="154">
        <v>0</v>
      </c>
      <c r="N56" s="154">
        <v>1</v>
      </c>
      <c r="O56" s="155">
        <f t="shared" si="3"/>
        <v>16</v>
      </c>
      <c r="P56" s="156" t="s">
        <v>88</v>
      </c>
      <c r="Q56" s="157">
        <f>O56/O59*100</f>
        <v>0.41644976574700676</v>
      </c>
      <c r="R56" s="156" t="s">
        <v>89</v>
      </c>
    </row>
    <row r="57" spans="2:18" ht="15.75" customHeight="1">
      <c r="B57" s="133">
        <v>47</v>
      </c>
      <c r="C57" t="s">
        <v>143</v>
      </c>
      <c r="D57" s="110">
        <f>48+0</f>
        <v>48</v>
      </c>
      <c r="E57" s="154">
        <v>1</v>
      </c>
      <c r="F57" s="154">
        <v>0</v>
      </c>
      <c r="G57" s="155">
        <f t="shared" si="2"/>
        <v>49</v>
      </c>
      <c r="H57" s="156" t="s">
        <v>88</v>
      </c>
      <c r="I57" s="157">
        <f>G57/G59*100</f>
        <v>0.6251594794590457</v>
      </c>
      <c r="J57" s="156" t="s">
        <v>89</v>
      </c>
      <c r="K57" s="158"/>
      <c r="L57" s="159">
        <f>37+0</f>
        <v>37</v>
      </c>
      <c r="M57" s="154">
        <v>1</v>
      </c>
      <c r="N57" s="154">
        <v>0</v>
      </c>
      <c r="O57" s="155">
        <f t="shared" si="3"/>
        <v>38</v>
      </c>
      <c r="P57" s="156" t="s">
        <v>88</v>
      </c>
      <c r="Q57" s="157">
        <f>O57/O59*100</f>
        <v>0.989068193649141</v>
      </c>
      <c r="R57" s="156" t="s">
        <v>89</v>
      </c>
    </row>
    <row r="58" spans="1:18" ht="15.75" customHeight="1" thickBot="1">
      <c r="A58" s="100"/>
      <c r="B58" s="177"/>
      <c r="C58" s="178" t="s">
        <v>97</v>
      </c>
      <c r="D58" s="179">
        <f>SUM(D50:D57)</f>
        <v>249</v>
      </c>
      <c r="E58" s="180">
        <f>SUM(E50:E57)</f>
        <v>6</v>
      </c>
      <c r="F58" s="180">
        <v>4</v>
      </c>
      <c r="G58" s="180">
        <f t="shared" si="2"/>
        <v>255</v>
      </c>
      <c r="H58" s="180" t="s">
        <v>88</v>
      </c>
      <c r="I58" s="181">
        <f>G58/G59*100</f>
        <v>3.2533809645317686</v>
      </c>
      <c r="J58" s="180" t="s">
        <v>89</v>
      </c>
      <c r="K58" s="180"/>
      <c r="L58" s="182">
        <f>SUM(L50:L57)</f>
        <v>149</v>
      </c>
      <c r="M58" s="180">
        <f>SUM(M50:M57)</f>
        <v>4</v>
      </c>
      <c r="N58" s="180">
        <v>2</v>
      </c>
      <c r="O58" s="180">
        <f t="shared" si="3"/>
        <v>153</v>
      </c>
      <c r="P58" s="180" t="s">
        <v>88</v>
      </c>
      <c r="Q58" s="181">
        <f>O58/O59*100</f>
        <v>3.982300884955752</v>
      </c>
      <c r="R58" s="180" t="s">
        <v>89</v>
      </c>
    </row>
    <row r="59" spans="1:18" ht="15.75" customHeight="1" thickTop="1">
      <c r="A59" s="43" t="s">
        <v>35</v>
      </c>
      <c r="B59" s="173"/>
      <c r="C59" s="43"/>
      <c r="D59" s="156">
        <f>D58+D49+D39+D32+D27+D23+D12+D5</f>
        <v>7590</v>
      </c>
      <c r="E59" s="156">
        <f>E58+E49+E39+E32+E27+E23+E12+E5</f>
        <v>248</v>
      </c>
      <c r="F59" s="156">
        <v>198</v>
      </c>
      <c r="G59" s="156">
        <f>G58+G49+G39+G32+G27+G23+G12+G5</f>
        <v>7838</v>
      </c>
      <c r="H59" s="156" t="s">
        <v>88</v>
      </c>
      <c r="I59" s="171">
        <f>I58+I49+I39+I32+I27+I23+I12+I5</f>
        <v>100</v>
      </c>
      <c r="J59" s="156" t="s">
        <v>89</v>
      </c>
      <c r="K59" s="156"/>
      <c r="L59" s="156">
        <f>L58+L49+L39+L32+L27+L23+L12+L5</f>
        <v>3736</v>
      </c>
      <c r="M59" s="156">
        <f>M58+M49+M39+M32+M27+M23+M12+M5</f>
        <v>106</v>
      </c>
      <c r="N59" s="156">
        <v>92</v>
      </c>
      <c r="O59" s="156">
        <f>O58+O49+O39+O32+O27+O23+O12+O5</f>
        <v>3842</v>
      </c>
      <c r="P59" s="156" t="s">
        <v>88</v>
      </c>
      <c r="Q59" s="171">
        <f>Q58+Q49+Q39+Q32+Q27+Q23+Q12+Q5</f>
        <v>100.00000000000001</v>
      </c>
      <c r="R59" s="156" t="s">
        <v>89</v>
      </c>
    </row>
  </sheetData>
  <sheetProtection/>
  <printOptions/>
  <pageMargins left="0.5905511811023623" right="0.5905511811023623" top="0.7086614173228347" bottom="0.7086614173228347" header="0.5118110236220472" footer="0.5118110236220472"/>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U57"/>
  <sheetViews>
    <sheetView view="pageBreakPreview" zoomScale="75" zoomScaleNormal="110" zoomScaleSheetLayoutView="75" zoomScalePageLayoutView="0" workbookViewId="0" topLeftCell="A1">
      <pane xSplit="1" ySplit="5" topLeftCell="B6" activePane="bottomRight" state="frozen"/>
      <selection pane="topLeft" activeCell="P50" sqref="P50:Q50"/>
      <selection pane="topRight" activeCell="P50" sqref="P50:Q50"/>
      <selection pane="bottomLeft" activeCell="P50" sqref="P50:Q50"/>
      <selection pane="bottomRight" activeCell="A1" sqref="A1:S1"/>
    </sheetView>
  </sheetViews>
  <sheetFormatPr defaultColWidth="8.75390625" defaultRowHeight="27" customHeight="1"/>
  <cols>
    <col min="1" max="1" width="7.50390625" style="290" bestFit="1" customWidth="1"/>
    <col min="2" max="7" width="8.625" style="291" customWidth="1"/>
    <col min="8" max="11" width="5.625" style="292" hidden="1" customWidth="1"/>
    <col min="12" max="12" width="8.625" style="292" customWidth="1"/>
    <col min="13" max="13" width="8.00390625" style="292" customWidth="1"/>
    <col min="14" max="18" width="8.625" style="248" customWidth="1"/>
    <col min="19" max="16384" width="8.75390625" style="248" customWidth="1"/>
  </cols>
  <sheetData>
    <row r="1" spans="1:19" s="250" customFormat="1" ht="22.5" customHeight="1">
      <c r="A1" s="404" t="s">
        <v>179</v>
      </c>
      <c r="B1" s="404"/>
      <c r="C1" s="404"/>
      <c r="D1" s="404"/>
      <c r="E1" s="404"/>
      <c r="F1" s="404"/>
      <c r="G1" s="404"/>
      <c r="H1" s="404"/>
      <c r="I1" s="404"/>
      <c r="J1" s="404"/>
      <c r="K1" s="404"/>
      <c r="L1" s="404"/>
      <c r="M1" s="404"/>
      <c r="N1" s="404"/>
      <c r="O1" s="404"/>
      <c r="P1" s="404"/>
      <c r="Q1" s="404"/>
      <c r="R1" s="404"/>
      <c r="S1" s="404"/>
    </row>
    <row r="2" spans="1:19" s="253" customFormat="1" ht="13.5" customHeight="1">
      <c r="A2" s="251"/>
      <c r="B2" s="252"/>
      <c r="C2" s="252"/>
      <c r="D2" s="252"/>
      <c r="E2" s="252"/>
      <c r="F2" s="252"/>
      <c r="G2" s="252"/>
      <c r="H2" s="252"/>
      <c r="I2" s="252"/>
      <c r="J2" s="252"/>
      <c r="K2" s="252"/>
      <c r="L2" s="252"/>
      <c r="M2" s="188"/>
      <c r="N2" s="188" t="s">
        <v>180</v>
      </c>
      <c r="O2" s="188"/>
      <c r="P2" s="188"/>
      <c r="Q2" s="188"/>
      <c r="R2" s="188"/>
      <c r="S2" s="188" t="s">
        <v>160</v>
      </c>
    </row>
    <row r="3" spans="1:19" s="255" customFormat="1" ht="18.75" customHeight="1">
      <c r="A3" s="254"/>
      <c r="B3" s="192" t="s">
        <v>161</v>
      </c>
      <c r="C3" s="192" t="s">
        <v>162</v>
      </c>
      <c r="D3" s="192" t="s">
        <v>163</v>
      </c>
      <c r="E3" s="192" t="s">
        <v>164</v>
      </c>
      <c r="F3" s="192" t="s">
        <v>165</v>
      </c>
      <c r="G3" s="402" t="s">
        <v>166</v>
      </c>
      <c r="H3" s="427"/>
      <c r="I3" s="427"/>
      <c r="J3" s="427"/>
      <c r="K3" s="403"/>
      <c r="L3" s="193" t="s">
        <v>167</v>
      </c>
      <c r="M3" s="428" t="s">
        <v>168</v>
      </c>
      <c r="N3" s="429"/>
      <c r="O3" s="429"/>
      <c r="P3" s="429"/>
      <c r="Q3" s="430"/>
      <c r="R3" s="402" t="s">
        <v>169</v>
      </c>
      <c r="S3" s="403"/>
    </row>
    <row r="4" spans="1:19" s="255" customFormat="1" ht="18.75" customHeight="1">
      <c r="A4" s="256" t="s">
        <v>150</v>
      </c>
      <c r="B4" s="405" t="s">
        <v>170</v>
      </c>
      <c r="C4" s="405" t="s">
        <v>170</v>
      </c>
      <c r="D4" s="405" t="s">
        <v>170</v>
      </c>
      <c r="E4" s="405" t="s">
        <v>170</v>
      </c>
      <c r="F4" s="405" t="s">
        <v>170</v>
      </c>
      <c r="G4" s="405" t="s">
        <v>170</v>
      </c>
      <c r="H4" s="257" t="s">
        <v>151</v>
      </c>
      <c r="I4" s="258" t="s">
        <v>152</v>
      </c>
      <c r="J4" s="258" t="s">
        <v>171</v>
      </c>
      <c r="K4" s="259" t="s">
        <v>153</v>
      </c>
      <c r="L4" s="405" t="s">
        <v>170</v>
      </c>
      <c r="M4" s="405" t="s">
        <v>170</v>
      </c>
      <c r="N4" s="199" t="s">
        <v>151</v>
      </c>
      <c r="O4" s="199" t="s">
        <v>181</v>
      </c>
      <c r="P4" s="199" t="s">
        <v>182</v>
      </c>
      <c r="Q4" s="259" t="s">
        <v>183</v>
      </c>
      <c r="R4" s="199" t="s">
        <v>151</v>
      </c>
      <c r="S4" s="199" t="s">
        <v>152</v>
      </c>
    </row>
    <row r="5" spans="1:19" s="255" customFormat="1" ht="18.75" customHeight="1" thickBot="1">
      <c r="A5" s="260"/>
      <c r="B5" s="406"/>
      <c r="C5" s="406"/>
      <c r="D5" s="406"/>
      <c r="E5" s="406"/>
      <c r="F5" s="406"/>
      <c r="G5" s="406"/>
      <c r="H5" s="261" t="s">
        <v>154</v>
      </c>
      <c r="I5" s="262" t="s">
        <v>155</v>
      </c>
      <c r="J5" s="262" t="s">
        <v>175</v>
      </c>
      <c r="K5" s="263" t="s">
        <v>156</v>
      </c>
      <c r="L5" s="406"/>
      <c r="M5" s="406"/>
      <c r="N5" s="204" t="s">
        <v>154</v>
      </c>
      <c r="O5" s="204" t="s">
        <v>176</v>
      </c>
      <c r="P5" s="204" t="s">
        <v>177</v>
      </c>
      <c r="Q5" s="263" t="s">
        <v>178</v>
      </c>
      <c r="R5" s="204" t="s">
        <v>154</v>
      </c>
      <c r="S5" s="204" t="s">
        <v>176</v>
      </c>
    </row>
    <row r="6" spans="1:19" s="194" customFormat="1" ht="24" customHeight="1" thickTop="1">
      <c r="A6" s="206" t="s">
        <v>87</v>
      </c>
      <c r="B6" s="264">
        <v>1482</v>
      </c>
      <c r="C6" s="264">
        <v>1441</v>
      </c>
      <c r="D6" s="208">
        <v>1530</v>
      </c>
      <c r="E6" s="208">
        <v>1729</v>
      </c>
      <c r="F6" s="208">
        <v>1429</v>
      </c>
      <c r="G6" s="208">
        <f aca="true" t="shared" si="0" ref="G6:G52">SUM(H6:K6)</f>
        <v>1557</v>
      </c>
      <c r="H6" s="209">
        <v>392</v>
      </c>
      <c r="I6" s="210">
        <v>439</v>
      </c>
      <c r="J6" s="210">
        <v>336</v>
      </c>
      <c r="K6" s="211">
        <v>390</v>
      </c>
      <c r="L6" s="265">
        <v>1796</v>
      </c>
      <c r="M6" s="240">
        <f aca="true" t="shared" si="1" ref="M6:M52">SUM(N6,O6,P6,Q6)</f>
        <v>2204</v>
      </c>
      <c r="N6" s="213">
        <v>534</v>
      </c>
      <c r="O6" s="213">
        <v>439</v>
      </c>
      <c r="P6" s="213">
        <v>522</v>
      </c>
      <c r="Q6" s="213">
        <v>709</v>
      </c>
      <c r="R6" s="213">
        <v>548</v>
      </c>
      <c r="S6" s="213">
        <v>600</v>
      </c>
    </row>
    <row r="7" spans="1:19" s="194" customFormat="1" ht="24" customHeight="1">
      <c r="A7" s="214" t="s">
        <v>91</v>
      </c>
      <c r="B7" s="216">
        <v>218</v>
      </c>
      <c r="C7" s="216">
        <v>262</v>
      </c>
      <c r="D7" s="216">
        <v>227</v>
      </c>
      <c r="E7" s="216">
        <v>343</v>
      </c>
      <c r="F7" s="216">
        <v>199</v>
      </c>
      <c r="G7" s="216">
        <f t="shared" si="0"/>
        <v>225</v>
      </c>
      <c r="H7" s="217">
        <v>47</v>
      </c>
      <c r="I7" s="218">
        <v>58</v>
      </c>
      <c r="J7" s="218">
        <v>63</v>
      </c>
      <c r="K7" s="219">
        <v>57</v>
      </c>
      <c r="L7" s="220">
        <v>232</v>
      </c>
      <c r="M7" s="266">
        <f t="shared" si="1"/>
        <v>363</v>
      </c>
      <c r="N7" s="222">
        <v>105</v>
      </c>
      <c r="O7" s="222">
        <v>55</v>
      </c>
      <c r="P7" s="222">
        <v>65</v>
      </c>
      <c r="Q7" s="222">
        <v>138</v>
      </c>
      <c r="R7" s="222">
        <v>128</v>
      </c>
      <c r="S7" s="222">
        <v>93</v>
      </c>
    </row>
    <row r="8" spans="1:19" s="194" customFormat="1" ht="24" customHeight="1">
      <c r="A8" s="214" t="s">
        <v>92</v>
      </c>
      <c r="B8" s="216">
        <v>286</v>
      </c>
      <c r="C8" s="216">
        <v>286</v>
      </c>
      <c r="D8" s="216">
        <v>290</v>
      </c>
      <c r="E8" s="216">
        <v>378</v>
      </c>
      <c r="F8" s="216">
        <v>291</v>
      </c>
      <c r="G8" s="216">
        <f t="shared" si="0"/>
        <v>283</v>
      </c>
      <c r="H8" s="217">
        <v>76</v>
      </c>
      <c r="I8" s="218">
        <v>61</v>
      </c>
      <c r="J8" s="218">
        <v>62</v>
      </c>
      <c r="K8" s="219">
        <v>84</v>
      </c>
      <c r="L8" s="220">
        <v>329</v>
      </c>
      <c r="M8" s="266">
        <f t="shared" si="1"/>
        <v>490</v>
      </c>
      <c r="N8" s="222">
        <v>154</v>
      </c>
      <c r="O8" s="222">
        <v>62</v>
      </c>
      <c r="P8" s="222">
        <v>105</v>
      </c>
      <c r="Q8" s="222">
        <v>169</v>
      </c>
      <c r="R8" s="222">
        <v>134</v>
      </c>
      <c r="S8" s="222">
        <v>133</v>
      </c>
    </row>
    <row r="9" spans="1:19" s="194" customFormat="1" ht="24" customHeight="1">
      <c r="A9" s="214" t="s">
        <v>93</v>
      </c>
      <c r="B9" s="216">
        <v>699</v>
      </c>
      <c r="C9" s="216">
        <v>671</v>
      </c>
      <c r="D9" s="216">
        <v>683</v>
      </c>
      <c r="E9" s="216">
        <v>758</v>
      </c>
      <c r="F9" s="216">
        <v>590</v>
      </c>
      <c r="G9" s="216">
        <f t="shared" si="0"/>
        <v>794</v>
      </c>
      <c r="H9" s="217">
        <v>207</v>
      </c>
      <c r="I9" s="218">
        <v>225</v>
      </c>
      <c r="J9" s="218">
        <v>152</v>
      </c>
      <c r="K9" s="219">
        <v>210</v>
      </c>
      <c r="L9" s="220">
        <v>918</v>
      </c>
      <c r="M9" s="266">
        <f t="shared" si="1"/>
        <v>926</v>
      </c>
      <c r="N9" s="222">
        <v>229</v>
      </c>
      <c r="O9" s="222">
        <v>185</v>
      </c>
      <c r="P9" s="222">
        <v>241</v>
      </c>
      <c r="Q9" s="222">
        <v>271</v>
      </c>
      <c r="R9" s="222">
        <v>222</v>
      </c>
      <c r="S9" s="222">
        <v>210</v>
      </c>
    </row>
    <row r="10" spans="1:19" s="194" customFormat="1" ht="24" customHeight="1">
      <c r="A10" s="214" t="s">
        <v>94</v>
      </c>
      <c r="B10" s="267">
        <v>137</v>
      </c>
      <c r="C10" s="267">
        <v>150</v>
      </c>
      <c r="D10" s="267">
        <v>169</v>
      </c>
      <c r="E10" s="267">
        <v>235</v>
      </c>
      <c r="F10" s="216">
        <v>176</v>
      </c>
      <c r="G10" s="216">
        <f t="shared" si="0"/>
        <v>204</v>
      </c>
      <c r="H10" s="217">
        <v>66</v>
      </c>
      <c r="I10" s="218">
        <v>58</v>
      </c>
      <c r="J10" s="218">
        <v>41</v>
      </c>
      <c r="K10" s="219">
        <v>39</v>
      </c>
      <c r="L10" s="220">
        <v>334</v>
      </c>
      <c r="M10" s="266">
        <f t="shared" si="1"/>
        <v>488</v>
      </c>
      <c r="N10" s="222">
        <v>84</v>
      </c>
      <c r="O10" s="222">
        <v>86</v>
      </c>
      <c r="P10" s="222">
        <v>109</v>
      </c>
      <c r="Q10" s="222">
        <v>209</v>
      </c>
      <c r="R10" s="222">
        <v>90</v>
      </c>
      <c r="S10" s="222">
        <v>93</v>
      </c>
    </row>
    <row r="11" spans="1:19" s="194" customFormat="1" ht="24" customHeight="1">
      <c r="A11" s="214" t="s">
        <v>95</v>
      </c>
      <c r="B11" s="216">
        <v>299</v>
      </c>
      <c r="C11" s="216">
        <v>279</v>
      </c>
      <c r="D11" s="216">
        <v>261</v>
      </c>
      <c r="E11" s="216">
        <v>260</v>
      </c>
      <c r="F11" s="216">
        <v>201</v>
      </c>
      <c r="G11" s="216">
        <f t="shared" si="0"/>
        <v>301</v>
      </c>
      <c r="H11" s="217">
        <v>85</v>
      </c>
      <c r="I11" s="218">
        <v>58</v>
      </c>
      <c r="J11" s="218">
        <v>70</v>
      </c>
      <c r="K11" s="219">
        <v>88</v>
      </c>
      <c r="L11" s="220">
        <v>562</v>
      </c>
      <c r="M11" s="266">
        <f t="shared" si="1"/>
        <v>457</v>
      </c>
      <c r="N11" s="222">
        <v>147</v>
      </c>
      <c r="O11" s="222">
        <v>90</v>
      </c>
      <c r="P11" s="222">
        <v>97</v>
      </c>
      <c r="Q11" s="222">
        <v>123</v>
      </c>
      <c r="R11" s="222">
        <v>107</v>
      </c>
      <c r="S11" s="222">
        <v>109</v>
      </c>
    </row>
    <row r="12" spans="1:19" s="194" customFormat="1" ht="24" customHeight="1">
      <c r="A12" s="214" t="s">
        <v>96</v>
      </c>
      <c r="B12" s="216">
        <v>379</v>
      </c>
      <c r="C12" s="216">
        <v>304</v>
      </c>
      <c r="D12" s="216">
        <v>571</v>
      </c>
      <c r="E12" s="216">
        <v>516</v>
      </c>
      <c r="F12" s="216">
        <v>347</v>
      </c>
      <c r="G12" s="216">
        <f t="shared" si="0"/>
        <v>368</v>
      </c>
      <c r="H12" s="217">
        <v>101</v>
      </c>
      <c r="I12" s="218">
        <v>89</v>
      </c>
      <c r="J12" s="218">
        <v>90</v>
      </c>
      <c r="K12" s="219">
        <v>88</v>
      </c>
      <c r="L12" s="220">
        <v>545</v>
      </c>
      <c r="M12" s="266">
        <f t="shared" si="1"/>
        <v>1010</v>
      </c>
      <c r="N12" s="222">
        <v>459</v>
      </c>
      <c r="O12" s="222">
        <v>157</v>
      </c>
      <c r="P12" s="222">
        <v>169</v>
      </c>
      <c r="Q12" s="222">
        <v>225</v>
      </c>
      <c r="R12" s="222">
        <v>201</v>
      </c>
      <c r="S12" s="222">
        <v>242</v>
      </c>
    </row>
    <row r="13" spans="1:19" s="194" customFormat="1" ht="24" customHeight="1">
      <c r="A13" s="214" t="s">
        <v>99</v>
      </c>
      <c r="B13" s="216">
        <v>957</v>
      </c>
      <c r="C13" s="216">
        <v>875</v>
      </c>
      <c r="D13" s="216">
        <v>928</v>
      </c>
      <c r="E13" s="216">
        <v>1766</v>
      </c>
      <c r="F13" s="216">
        <v>777</v>
      </c>
      <c r="G13" s="216">
        <f t="shared" si="0"/>
        <v>1006</v>
      </c>
      <c r="H13" s="217">
        <v>279</v>
      </c>
      <c r="I13" s="218">
        <v>266</v>
      </c>
      <c r="J13" s="218">
        <v>232</v>
      </c>
      <c r="K13" s="219">
        <v>229</v>
      </c>
      <c r="L13" s="220">
        <v>1175</v>
      </c>
      <c r="M13" s="266">
        <f t="shared" si="1"/>
        <v>1255</v>
      </c>
      <c r="N13" s="222">
        <v>265</v>
      </c>
      <c r="O13" s="222">
        <v>280</v>
      </c>
      <c r="P13" s="222">
        <v>361</v>
      </c>
      <c r="Q13" s="222">
        <v>349</v>
      </c>
      <c r="R13" s="222">
        <v>324</v>
      </c>
      <c r="S13" s="222">
        <v>345</v>
      </c>
    </row>
    <row r="14" spans="1:19" s="194" customFormat="1" ht="24" customHeight="1">
      <c r="A14" s="214" t="s">
        <v>100</v>
      </c>
      <c r="B14" s="216">
        <v>658</v>
      </c>
      <c r="C14" s="216">
        <v>564</v>
      </c>
      <c r="D14" s="216">
        <v>654</v>
      </c>
      <c r="E14" s="216">
        <v>928</v>
      </c>
      <c r="F14" s="216">
        <v>720</v>
      </c>
      <c r="G14" s="216">
        <f t="shared" si="0"/>
        <v>1025</v>
      </c>
      <c r="H14" s="217">
        <v>248</v>
      </c>
      <c r="I14" s="218">
        <v>251</v>
      </c>
      <c r="J14" s="218">
        <v>257</v>
      </c>
      <c r="K14" s="219">
        <v>269</v>
      </c>
      <c r="L14" s="220">
        <v>1405</v>
      </c>
      <c r="M14" s="266">
        <f t="shared" si="1"/>
        <v>1687</v>
      </c>
      <c r="N14" s="222">
        <v>406</v>
      </c>
      <c r="O14" s="222">
        <v>368</v>
      </c>
      <c r="P14" s="222">
        <v>456</v>
      </c>
      <c r="Q14" s="222">
        <v>457</v>
      </c>
      <c r="R14" s="222">
        <v>390</v>
      </c>
      <c r="S14" s="222">
        <v>404</v>
      </c>
    </row>
    <row r="15" spans="1:19" s="194" customFormat="1" ht="24" customHeight="1">
      <c r="A15" s="214" t="s">
        <v>101</v>
      </c>
      <c r="B15" s="216">
        <v>775</v>
      </c>
      <c r="C15" s="216">
        <v>628</v>
      </c>
      <c r="D15" s="216">
        <v>637</v>
      </c>
      <c r="E15" s="216">
        <v>789</v>
      </c>
      <c r="F15" s="216">
        <v>591</v>
      </c>
      <c r="G15" s="216">
        <f t="shared" si="0"/>
        <v>654</v>
      </c>
      <c r="H15" s="217">
        <v>175</v>
      </c>
      <c r="I15" s="218">
        <v>151</v>
      </c>
      <c r="J15" s="218">
        <v>187</v>
      </c>
      <c r="K15" s="219">
        <v>141</v>
      </c>
      <c r="L15" s="220">
        <v>722</v>
      </c>
      <c r="M15" s="266">
        <f t="shared" si="1"/>
        <v>1023</v>
      </c>
      <c r="N15" s="222">
        <v>216</v>
      </c>
      <c r="O15" s="222">
        <v>176</v>
      </c>
      <c r="P15" s="222">
        <v>301</v>
      </c>
      <c r="Q15" s="222">
        <v>330</v>
      </c>
      <c r="R15" s="222">
        <v>340</v>
      </c>
      <c r="S15" s="222">
        <v>301</v>
      </c>
    </row>
    <row r="16" spans="1:19" s="194" customFormat="1" ht="24" customHeight="1">
      <c r="A16" s="214" t="s">
        <v>102</v>
      </c>
      <c r="B16" s="216">
        <v>2140</v>
      </c>
      <c r="C16" s="216">
        <v>1789</v>
      </c>
      <c r="D16" s="216">
        <v>1752</v>
      </c>
      <c r="E16" s="216">
        <v>3483</v>
      </c>
      <c r="F16" s="216">
        <v>1553</v>
      </c>
      <c r="G16" s="216">
        <f t="shared" si="0"/>
        <v>1820</v>
      </c>
      <c r="H16" s="217">
        <v>470</v>
      </c>
      <c r="I16" s="218">
        <v>473</v>
      </c>
      <c r="J16" s="218">
        <v>419</v>
      </c>
      <c r="K16" s="219">
        <v>458</v>
      </c>
      <c r="L16" s="220">
        <v>2656</v>
      </c>
      <c r="M16" s="266">
        <f t="shared" si="1"/>
        <v>3903</v>
      </c>
      <c r="N16" s="222">
        <v>1834</v>
      </c>
      <c r="O16" s="222">
        <v>518</v>
      </c>
      <c r="P16" s="222">
        <v>656</v>
      </c>
      <c r="Q16" s="222">
        <v>895</v>
      </c>
      <c r="R16" s="222">
        <v>592</v>
      </c>
      <c r="S16" s="222">
        <v>739</v>
      </c>
    </row>
    <row r="17" spans="1:19" s="194" customFormat="1" ht="24" customHeight="1">
      <c r="A17" s="214" t="s">
        <v>103</v>
      </c>
      <c r="B17" s="267">
        <v>2456</v>
      </c>
      <c r="C17" s="267">
        <v>2155</v>
      </c>
      <c r="D17" s="267">
        <v>2344</v>
      </c>
      <c r="E17" s="267">
        <v>2870</v>
      </c>
      <c r="F17" s="216">
        <v>2367</v>
      </c>
      <c r="G17" s="216">
        <f t="shared" si="0"/>
        <v>3185</v>
      </c>
      <c r="H17" s="217">
        <v>675</v>
      </c>
      <c r="I17" s="218">
        <v>807</v>
      </c>
      <c r="J17" s="218">
        <v>782</v>
      </c>
      <c r="K17" s="219">
        <v>921</v>
      </c>
      <c r="L17" s="220">
        <v>3578</v>
      </c>
      <c r="M17" s="266">
        <f t="shared" si="1"/>
        <v>3763</v>
      </c>
      <c r="N17" s="222">
        <v>823</v>
      </c>
      <c r="O17" s="222">
        <v>792</v>
      </c>
      <c r="P17" s="222">
        <v>996</v>
      </c>
      <c r="Q17" s="222">
        <v>1152</v>
      </c>
      <c r="R17" s="222">
        <v>828</v>
      </c>
      <c r="S17" s="222">
        <v>1109</v>
      </c>
    </row>
    <row r="18" spans="1:19" s="194" customFormat="1" ht="24" customHeight="1">
      <c r="A18" s="214" t="s">
        <v>104</v>
      </c>
      <c r="B18" s="216">
        <v>5523</v>
      </c>
      <c r="C18" s="216">
        <v>5191</v>
      </c>
      <c r="D18" s="216">
        <v>5396</v>
      </c>
      <c r="E18" s="216">
        <v>9778</v>
      </c>
      <c r="F18" s="216">
        <v>7116</v>
      </c>
      <c r="G18" s="216">
        <f t="shared" si="0"/>
        <v>8316</v>
      </c>
      <c r="H18" s="217">
        <v>2097</v>
      </c>
      <c r="I18" s="218">
        <v>2188</v>
      </c>
      <c r="J18" s="218">
        <v>1950</v>
      </c>
      <c r="K18" s="219">
        <v>2081</v>
      </c>
      <c r="L18" s="220">
        <v>9742</v>
      </c>
      <c r="M18" s="266">
        <f t="shared" si="1"/>
        <v>10084</v>
      </c>
      <c r="N18" s="222">
        <v>2683</v>
      </c>
      <c r="O18" s="222">
        <v>2140</v>
      </c>
      <c r="P18" s="222">
        <v>2444</v>
      </c>
      <c r="Q18" s="222">
        <v>2817</v>
      </c>
      <c r="R18" s="222">
        <v>2372</v>
      </c>
      <c r="S18" s="222">
        <v>2525</v>
      </c>
    </row>
    <row r="19" spans="1:19" s="194" customFormat="1" ht="24" customHeight="1">
      <c r="A19" s="214" t="s">
        <v>105</v>
      </c>
      <c r="B19" s="216">
        <v>6362</v>
      </c>
      <c r="C19" s="216">
        <v>5886</v>
      </c>
      <c r="D19" s="216">
        <v>5499</v>
      </c>
      <c r="E19" s="216">
        <v>7083</v>
      </c>
      <c r="F19" s="216">
        <v>3535</v>
      </c>
      <c r="G19" s="216">
        <f t="shared" si="0"/>
        <v>3602</v>
      </c>
      <c r="H19" s="217">
        <v>904</v>
      </c>
      <c r="I19" s="218">
        <v>974</v>
      </c>
      <c r="J19" s="218">
        <v>871</v>
      </c>
      <c r="K19" s="219">
        <v>853</v>
      </c>
      <c r="L19" s="220">
        <v>4056</v>
      </c>
      <c r="M19" s="266">
        <f t="shared" si="1"/>
        <v>6100</v>
      </c>
      <c r="N19" s="222">
        <v>1625</v>
      </c>
      <c r="O19" s="222">
        <v>1338</v>
      </c>
      <c r="P19" s="222">
        <v>1531</v>
      </c>
      <c r="Q19" s="222">
        <v>1606</v>
      </c>
      <c r="R19" s="222">
        <v>1309</v>
      </c>
      <c r="S19" s="222">
        <v>1456</v>
      </c>
    </row>
    <row r="20" spans="1:19" s="194" customFormat="1" ht="24" customHeight="1">
      <c r="A20" s="214" t="s">
        <v>106</v>
      </c>
      <c r="B20" s="216">
        <v>731</v>
      </c>
      <c r="C20" s="216">
        <v>613</v>
      </c>
      <c r="D20" s="216">
        <v>543</v>
      </c>
      <c r="E20" s="216">
        <v>819</v>
      </c>
      <c r="F20" s="216">
        <v>542</v>
      </c>
      <c r="G20" s="216">
        <f t="shared" si="0"/>
        <v>735</v>
      </c>
      <c r="H20" s="217">
        <v>178</v>
      </c>
      <c r="I20" s="218">
        <v>228</v>
      </c>
      <c r="J20" s="218">
        <v>169</v>
      </c>
      <c r="K20" s="219">
        <v>160</v>
      </c>
      <c r="L20" s="220">
        <v>884</v>
      </c>
      <c r="M20" s="266">
        <f t="shared" si="1"/>
        <v>921</v>
      </c>
      <c r="N20" s="222">
        <v>217</v>
      </c>
      <c r="O20" s="222">
        <v>165</v>
      </c>
      <c r="P20" s="222">
        <v>263</v>
      </c>
      <c r="Q20" s="222">
        <v>276</v>
      </c>
      <c r="R20" s="222">
        <v>207</v>
      </c>
      <c r="S20" s="222">
        <v>232</v>
      </c>
    </row>
    <row r="21" spans="1:19" s="194" customFormat="1" ht="24" customHeight="1">
      <c r="A21" s="214" t="s">
        <v>110</v>
      </c>
      <c r="B21" s="216">
        <v>336</v>
      </c>
      <c r="C21" s="216">
        <v>430</v>
      </c>
      <c r="D21" s="216">
        <v>303</v>
      </c>
      <c r="E21" s="216">
        <v>252</v>
      </c>
      <c r="F21" s="216">
        <v>263</v>
      </c>
      <c r="G21" s="216">
        <f t="shared" si="0"/>
        <v>342</v>
      </c>
      <c r="H21" s="217">
        <v>101</v>
      </c>
      <c r="I21" s="218">
        <v>81</v>
      </c>
      <c r="J21" s="218">
        <v>80</v>
      </c>
      <c r="K21" s="219">
        <v>80</v>
      </c>
      <c r="L21" s="220">
        <v>375</v>
      </c>
      <c r="M21" s="266">
        <f t="shared" si="1"/>
        <v>474</v>
      </c>
      <c r="N21" s="222">
        <v>92</v>
      </c>
      <c r="O21" s="222">
        <v>103</v>
      </c>
      <c r="P21" s="222">
        <v>99</v>
      </c>
      <c r="Q21" s="222">
        <v>180</v>
      </c>
      <c r="R21" s="222">
        <v>114</v>
      </c>
      <c r="S21" s="222">
        <v>97</v>
      </c>
    </row>
    <row r="22" spans="1:19" s="194" customFormat="1" ht="24" customHeight="1">
      <c r="A22" s="214" t="s">
        <v>111</v>
      </c>
      <c r="B22" s="216">
        <v>375</v>
      </c>
      <c r="C22" s="216">
        <v>330</v>
      </c>
      <c r="D22" s="216">
        <v>380</v>
      </c>
      <c r="E22" s="216">
        <v>437</v>
      </c>
      <c r="F22" s="216">
        <v>368</v>
      </c>
      <c r="G22" s="216">
        <f t="shared" si="0"/>
        <v>533</v>
      </c>
      <c r="H22" s="217">
        <v>121</v>
      </c>
      <c r="I22" s="218">
        <v>117</v>
      </c>
      <c r="J22" s="218">
        <v>114</v>
      </c>
      <c r="K22" s="219">
        <v>181</v>
      </c>
      <c r="L22" s="220">
        <v>796</v>
      </c>
      <c r="M22" s="266">
        <f t="shared" si="1"/>
        <v>797</v>
      </c>
      <c r="N22" s="222">
        <v>244</v>
      </c>
      <c r="O22" s="222">
        <v>150</v>
      </c>
      <c r="P22" s="222">
        <v>158</v>
      </c>
      <c r="Q22" s="222">
        <v>245</v>
      </c>
      <c r="R22" s="222">
        <v>169</v>
      </c>
      <c r="S22" s="222">
        <v>252</v>
      </c>
    </row>
    <row r="23" spans="1:19" s="194" customFormat="1" ht="24" customHeight="1">
      <c r="A23" s="214" t="s">
        <v>112</v>
      </c>
      <c r="B23" s="267">
        <v>242</v>
      </c>
      <c r="C23" s="267">
        <v>219</v>
      </c>
      <c r="D23" s="267">
        <v>169</v>
      </c>
      <c r="E23" s="267">
        <v>204</v>
      </c>
      <c r="F23" s="216">
        <v>145</v>
      </c>
      <c r="G23" s="216">
        <f t="shared" si="0"/>
        <v>230</v>
      </c>
      <c r="H23" s="217">
        <v>73</v>
      </c>
      <c r="I23" s="218">
        <v>62</v>
      </c>
      <c r="J23" s="218">
        <v>57</v>
      </c>
      <c r="K23" s="219">
        <v>38</v>
      </c>
      <c r="L23" s="220">
        <v>227</v>
      </c>
      <c r="M23" s="266">
        <f t="shared" si="1"/>
        <v>297</v>
      </c>
      <c r="N23" s="222">
        <v>51</v>
      </c>
      <c r="O23" s="222">
        <v>67</v>
      </c>
      <c r="P23" s="222">
        <v>85</v>
      </c>
      <c r="Q23" s="222">
        <v>94</v>
      </c>
      <c r="R23" s="222">
        <v>71</v>
      </c>
      <c r="S23" s="222">
        <v>91</v>
      </c>
    </row>
    <row r="24" spans="1:19" s="194" customFormat="1" ht="24" customHeight="1">
      <c r="A24" s="214" t="s">
        <v>107</v>
      </c>
      <c r="B24" s="216">
        <v>344</v>
      </c>
      <c r="C24" s="216">
        <v>394</v>
      </c>
      <c r="D24" s="216">
        <v>325</v>
      </c>
      <c r="E24" s="216">
        <v>430</v>
      </c>
      <c r="F24" s="216">
        <v>357</v>
      </c>
      <c r="G24" s="216">
        <f t="shared" si="0"/>
        <v>486</v>
      </c>
      <c r="H24" s="217">
        <v>111</v>
      </c>
      <c r="I24" s="218">
        <v>109</v>
      </c>
      <c r="J24" s="218">
        <v>134</v>
      </c>
      <c r="K24" s="219">
        <v>132</v>
      </c>
      <c r="L24" s="220">
        <v>536</v>
      </c>
      <c r="M24" s="266">
        <f t="shared" si="1"/>
        <v>600</v>
      </c>
      <c r="N24" s="222">
        <v>126</v>
      </c>
      <c r="O24" s="222">
        <v>143</v>
      </c>
      <c r="P24" s="222">
        <v>163</v>
      </c>
      <c r="Q24" s="222">
        <v>168</v>
      </c>
      <c r="R24" s="222">
        <v>122</v>
      </c>
      <c r="S24" s="222">
        <v>174</v>
      </c>
    </row>
    <row r="25" spans="1:19" s="194" customFormat="1" ht="24" customHeight="1">
      <c r="A25" s="214" t="s">
        <v>108</v>
      </c>
      <c r="B25" s="216">
        <v>1154</v>
      </c>
      <c r="C25" s="216">
        <v>1062</v>
      </c>
      <c r="D25" s="216">
        <v>1097</v>
      </c>
      <c r="E25" s="216">
        <v>1582</v>
      </c>
      <c r="F25" s="216">
        <v>1106</v>
      </c>
      <c r="G25" s="216">
        <f t="shared" si="0"/>
        <v>1295</v>
      </c>
      <c r="H25" s="217">
        <v>328</v>
      </c>
      <c r="I25" s="218">
        <v>325</v>
      </c>
      <c r="J25" s="218">
        <v>332</v>
      </c>
      <c r="K25" s="219">
        <v>310</v>
      </c>
      <c r="L25" s="220">
        <v>1437</v>
      </c>
      <c r="M25" s="266">
        <f t="shared" si="1"/>
        <v>1755</v>
      </c>
      <c r="N25" s="222">
        <v>382</v>
      </c>
      <c r="O25" s="222">
        <v>378</v>
      </c>
      <c r="P25" s="222">
        <v>460</v>
      </c>
      <c r="Q25" s="222">
        <v>535</v>
      </c>
      <c r="R25" s="222">
        <v>399</v>
      </c>
      <c r="S25" s="222">
        <v>511</v>
      </c>
    </row>
    <row r="26" spans="1:19" s="194" customFormat="1" ht="24" customHeight="1">
      <c r="A26" s="214" t="s">
        <v>114</v>
      </c>
      <c r="B26" s="216">
        <v>367</v>
      </c>
      <c r="C26" s="216">
        <v>342</v>
      </c>
      <c r="D26" s="216">
        <v>376</v>
      </c>
      <c r="E26" s="216">
        <v>453</v>
      </c>
      <c r="F26" s="216">
        <v>339</v>
      </c>
      <c r="G26" s="216">
        <f t="shared" si="0"/>
        <v>373</v>
      </c>
      <c r="H26" s="217">
        <v>97</v>
      </c>
      <c r="I26" s="218">
        <v>107</v>
      </c>
      <c r="J26" s="218">
        <v>70</v>
      </c>
      <c r="K26" s="219">
        <v>99</v>
      </c>
      <c r="L26" s="220">
        <v>451</v>
      </c>
      <c r="M26" s="266">
        <f t="shared" si="1"/>
        <v>411</v>
      </c>
      <c r="N26" s="222">
        <v>104</v>
      </c>
      <c r="O26" s="222">
        <v>70</v>
      </c>
      <c r="P26" s="222">
        <v>81</v>
      </c>
      <c r="Q26" s="222">
        <v>156</v>
      </c>
      <c r="R26" s="222">
        <v>110</v>
      </c>
      <c r="S26" s="222">
        <v>116</v>
      </c>
    </row>
    <row r="27" spans="1:19" s="194" customFormat="1" ht="24" customHeight="1">
      <c r="A27" s="214" t="s">
        <v>115</v>
      </c>
      <c r="B27" s="267">
        <v>1393</v>
      </c>
      <c r="C27" s="267">
        <v>1271</v>
      </c>
      <c r="D27" s="267">
        <v>1337</v>
      </c>
      <c r="E27" s="267">
        <v>1925</v>
      </c>
      <c r="F27" s="216">
        <v>1387</v>
      </c>
      <c r="G27" s="216">
        <f t="shared" si="0"/>
        <v>1705</v>
      </c>
      <c r="H27" s="217">
        <v>364</v>
      </c>
      <c r="I27" s="218">
        <v>436</v>
      </c>
      <c r="J27" s="218">
        <v>410</v>
      </c>
      <c r="K27" s="219">
        <v>495</v>
      </c>
      <c r="L27" s="220">
        <v>2063</v>
      </c>
      <c r="M27" s="266">
        <f t="shared" si="1"/>
        <v>2423</v>
      </c>
      <c r="N27" s="222">
        <v>605</v>
      </c>
      <c r="O27" s="222">
        <v>505</v>
      </c>
      <c r="P27" s="222">
        <v>588</v>
      </c>
      <c r="Q27" s="222">
        <v>725</v>
      </c>
      <c r="R27" s="222">
        <v>637</v>
      </c>
      <c r="S27" s="222">
        <v>743</v>
      </c>
    </row>
    <row r="28" spans="1:19" s="194" customFormat="1" ht="24" customHeight="1">
      <c r="A28" s="214" t="s">
        <v>116</v>
      </c>
      <c r="B28" s="216">
        <v>4208</v>
      </c>
      <c r="C28" s="216">
        <v>3779</v>
      </c>
      <c r="D28" s="216">
        <v>3971</v>
      </c>
      <c r="E28" s="216">
        <v>6196</v>
      </c>
      <c r="F28" s="216">
        <v>4429</v>
      </c>
      <c r="G28" s="216">
        <f t="shared" si="0"/>
        <v>5369</v>
      </c>
      <c r="H28" s="217">
        <v>1257</v>
      </c>
      <c r="I28" s="218">
        <v>1559</v>
      </c>
      <c r="J28" s="218">
        <v>1285</v>
      </c>
      <c r="K28" s="219">
        <v>1268</v>
      </c>
      <c r="L28" s="220">
        <v>5784</v>
      </c>
      <c r="M28" s="266">
        <f t="shared" si="1"/>
        <v>5511</v>
      </c>
      <c r="N28" s="222">
        <v>1327</v>
      </c>
      <c r="O28" s="222">
        <v>1254</v>
      </c>
      <c r="P28" s="222">
        <v>1394</v>
      </c>
      <c r="Q28" s="222">
        <v>1536</v>
      </c>
      <c r="R28" s="222">
        <v>1471</v>
      </c>
      <c r="S28" s="222">
        <v>1615</v>
      </c>
    </row>
    <row r="29" spans="1:19" s="194" customFormat="1" ht="24" customHeight="1">
      <c r="A29" s="214" t="s">
        <v>117</v>
      </c>
      <c r="B29" s="216">
        <v>549</v>
      </c>
      <c r="C29" s="216">
        <v>518</v>
      </c>
      <c r="D29" s="216">
        <v>470</v>
      </c>
      <c r="E29" s="216">
        <v>591</v>
      </c>
      <c r="F29" s="216">
        <v>464</v>
      </c>
      <c r="G29" s="216">
        <f t="shared" si="0"/>
        <v>523</v>
      </c>
      <c r="H29" s="217">
        <v>142</v>
      </c>
      <c r="I29" s="218">
        <v>143</v>
      </c>
      <c r="J29" s="218">
        <v>126</v>
      </c>
      <c r="K29" s="219">
        <v>112</v>
      </c>
      <c r="L29" s="220">
        <v>571</v>
      </c>
      <c r="M29" s="266">
        <f t="shared" si="1"/>
        <v>612</v>
      </c>
      <c r="N29" s="222">
        <v>148</v>
      </c>
      <c r="O29" s="222">
        <v>136</v>
      </c>
      <c r="P29" s="222">
        <v>168</v>
      </c>
      <c r="Q29" s="222">
        <v>160</v>
      </c>
      <c r="R29" s="222">
        <v>152</v>
      </c>
      <c r="S29" s="222">
        <v>221</v>
      </c>
    </row>
    <row r="30" spans="1:19" s="194" customFormat="1" ht="24" customHeight="1">
      <c r="A30" s="214" t="s">
        <v>119</v>
      </c>
      <c r="B30" s="216">
        <v>388</v>
      </c>
      <c r="C30" s="216">
        <v>341</v>
      </c>
      <c r="D30" s="216">
        <v>318</v>
      </c>
      <c r="E30" s="216">
        <v>390</v>
      </c>
      <c r="F30" s="216">
        <v>376</v>
      </c>
      <c r="G30" s="216">
        <f t="shared" si="0"/>
        <v>430</v>
      </c>
      <c r="H30" s="217">
        <v>108</v>
      </c>
      <c r="I30" s="218">
        <v>97</v>
      </c>
      <c r="J30" s="218">
        <v>90</v>
      </c>
      <c r="K30" s="219">
        <v>135</v>
      </c>
      <c r="L30" s="220">
        <v>582</v>
      </c>
      <c r="M30" s="266">
        <f t="shared" si="1"/>
        <v>963</v>
      </c>
      <c r="N30" s="222">
        <v>439</v>
      </c>
      <c r="O30" s="222">
        <v>111</v>
      </c>
      <c r="P30" s="222">
        <v>201</v>
      </c>
      <c r="Q30" s="222">
        <v>212</v>
      </c>
      <c r="R30" s="222">
        <v>140</v>
      </c>
      <c r="S30" s="222">
        <v>116</v>
      </c>
    </row>
    <row r="31" spans="1:19" s="194" customFormat="1" ht="24" customHeight="1">
      <c r="A31" s="214" t="s">
        <v>120</v>
      </c>
      <c r="B31" s="216">
        <v>1475</v>
      </c>
      <c r="C31" s="216">
        <v>1290</v>
      </c>
      <c r="D31" s="216">
        <v>1271</v>
      </c>
      <c r="E31" s="216">
        <v>1873</v>
      </c>
      <c r="F31" s="216">
        <v>1172</v>
      </c>
      <c r="G31" s="216">
        <f t="shared" si="0"/>
        <v>1494</v>
      </c>
      <c r="H31" s="217">
        <v>387</v>
      </c>
      <c r="I31" s="218">
        <v>418</v>
      </c>
      <c r="J31" s="218">
        <v>329</v>
      </c>
      <c r="K31" s="219">
        <v>360</v>
      </c>
      <c r="L31" s="220">
        <v>1671</v>
      </c>
      <c r="M31" s="266">
        <f t="shared" si="1"/>
        <v>1929</v>
      </c>
      <c r="N31" s="222">
        <v>478</v>
      </c>
      <c r="O31" s="222">
        <v>336</v>
      </c>
      <c r="P31" s="222">
        <v>551</v>
      </c>
      <c r="Q31" s="222">
        <v>564</v>
      </c>
      <c r="R31" s="222">
        <v>499</v>
      </c>
      <c r="S31" s="222">
        <v>535</v>
      </c>
    </row>
    <row r="32" spans="1:19" s="194" customFormat="1" ht="24" customHeight="1">
      <c r="A32" s="214" t="s">
        <v>121</v>
      </c>
      <c r="B32" s="216">
        <v>6491</v>
      </c>
      <c r="C32" s="216">
        <v>5763</v>
      </c>
      <c r="D32" s="216">
        <v>5295</v>
      </c>
      <c r="E32" s="216">
        <v>7682</v>
      </c>
      <c r="F32" s="216">
        <v>5802</v>
      </c>
      <c r="G32" s="216">
        <f t="shared" si="0"/>
        <v>6840</v>
      </c>
      <c r="H32" s="217">
        <v>1653</v>
      </c>
      <c r="I32" s="218">
        <v>1876</v>
      </c>
      <c r="J32" s="218">
        <v>1491</v>
      </c>
      <c r="K32" s="219">
        <v>1820</v>
      </c>
      <c r="L32" s="220">
        <v>7110</v>
      </c>
      <c r="M32" s="266">
        <f t="shared" si="1"/>
        <v>8581</v>
      </c>
      <c r="N32" s="222">
        <v>1755</v>
      </c>
      <c r="O32" s="222">
        <v>1702</v>
      </c>
      <c r="P32" s="222">
        <v>2469</v>
      </c>
      <c r="Q32" s="222">
        <v>2655</v>
      </c>
      <c r="R32" s="222">
        <v>1787</v>
      </c>
      <c r="S32" s="222">
        <v>1838</v>
      </c>
    </row>
    <row r="33" spans="1:19" s="194" customFormat="1" ht="24" customHeight="1">
      <c r="A33" s="214" t="s">
        <v>122</v>
      </c>
      <c r="B33" s="267">
        <v>2666</v>
      </c>
      <c r="C33" s="267">
        <v>2275</v>
      </c>
      <c r="D33" s="267">
        <v>2380</v>
      </c>
      <c r="E33" s="267">
        <v>4486</v>
      </c>
      <c r="F33" s="216">
        <v>2317</v>
      </c>
      <c r="G33" s="216">
        <f t="shared" si="0"/>
        <v>2469</v>
      </c>
      <c r="H33" s="217">
        <v>760</v>
      </c>
      <c r="I33" s="218">
        <v>591</v>
      </c>
      <c r="J33" s="218">
        <v>513</v>
      </c>
      <c r="K33" s="219">
        <v>605</v>
      </c>
      <c r="L33" s="220">
        <v>2968</v>
      </c>
      <c r="M33" s="266">
        <f t="shared" si="1"/>
        <v>3370</v>
      </c>
      <c r="N33" s="222">
        <v>1277</v>
      </c>
      <c r="O33" s="222">
        <v>572</v>
      </c>
      <c r="P33" s="222">
        <v>811</v>
      </c>
      <c r="Q33" s="222">
        <v>710</v>
      </c>
      <c r="R33" s="222">
        <v>531</v>
      </c>
      <c r="S33" s="222">
        <v>568</v>
      </c>
    </row>
    <row r="34" spans="1:19" s="194" customFormat="1" ht="24" customHeight="1">
      <c r="A34" s="214" t="s">
        <v>123</v>
      </c>
      <c r="B34" s="216">
        <v>411</v>
      </c>
      <c r="C34" s="216">
        <v>339</v>
      </c>
      <c r="D34" s="216">
        <v>360</v>
      </c>
      <c r="E34" s="216">
        <v>690</v>
      </c>
      <c r="F34" s="216">
        <v>314</v>
      </c>
      <c r="G34" s="216">
        <f t="shared" si="0"/>
        <v>355</v>
      </c>
      <c r="H34" s="217">
        <v>86</v>
      </c>
      <c r="I34" s="218">
        <v>89</v>
      </c>
      <c r="J34" s="218">
        <v>78</v>
      </c>
      <c r="K34" s="219">
        <v>102</v>
      </c>
      <c r="L34" s="220">
        <v>563</v>
      </c>
      <c r="M34" s="266">
        <f t="shared" si="1"/>
        <v>539</v>
      </c>
      <c r="N34" s="222">
        <v>166</v>
      </c>
      <c r="O34" s="222">
        <v>108</v>
      </c>
      <c r="P34" s="222">
        <v>133</v>
      </c>
      <c r="Q34" s="222">
        <v>132</v>
      </c>
      <c r="R34" s="222">
        <v>117</v>
      </c>
      <c r="S34" s="222">
        <v>166</v>
      </c>
    </row>
    <row r="35" spans="1:19" s="194" customFormat="1" ht="24" customHeight="1">
      <c r="A35" s="214" t="s">
        <v>124</v>
      </c>
      <c r="B35" s="216">
        <v>330</v>
      </c>
      <c r="C35" s="216">
        <v>249</v>
      </c>
      <c r="D35" s="216">
        <v>259</v>
      </c>
      <c r="E35" s="216">
        <v>369</v>
      </c>
      <c r="F35" s="216">
        <v>248</v>
      </c>
      <c r="G35" s="216">
        <f t="shared" si="0"/>
        <v>274</v>
      </c>
      <c r="H35" s="217">
        <v>81</v>
      </c>
      <c r="I35" s="218">
        <v>58</v>
      </c>
      <c r="J35" s="218">
        <v>72</v>
      </c>
      <c r="K35" s="219">
        <v>63</v>
      </c>
      <c r="L35" s="220">
        <v>258</v>
      </c>
      <c r="M35" s="266">
        <f t="shared" si="1"/>
        <v>309</v>
      </c>
      <c r="N35" s="222">
        <v>69</v>
      </c>
      <c r="O35" s="222">
        <v>84</v>
      </c>
      <c r="P35" s="222">
        <v>90</v>
      </c>
      <c r="Q35" s="222">
        <v>66</v>
      </c>
      <c r="R35" s="222">
        <v>87</v>
      </c>
      <c r="S35" s="222">
        <v>77</v>
      </c>
    </row>
    <row r="36" spans="1:19" s="194" customFormat="1" ht="24" customHeight="1">
      <c r="A36" s="214" t="s">
        <v>126</v>
      </c>
      <c r="B36" s="216">
        <v>183</v>
      </c>
      <c r="C36" s="216">
        <v>144</v>
      </c>
      <c r="D36" s="216">
        <v>106</v>
      </c>
      <c r="E36" s="216">
        <v>258</v>
      </c>
      <c r="F36" s="216">
        <v>170</v>
      </c>
      <c r="G36" s="216">
        <f t="shared" si="0"/>
        <v>218</v>
      </c>
      <c r="H36" s="217">
        <v>53</v>
      </c>
      <c r="I36" s="218">
        <v>43</v>
      </c>
      <c r="J36" s="218">
        <v>63</v>
      </c>
      <c r="K36" s="219">
        <v>59</v>
      </c>
      <c r="L36" s="220">
        <v>326</v>
      </c>
      <c r="M36" s="266">
        <f t="shared" si="1"/>
        <v>406</v>
      </c>
      <c r="N36" s="222">
        <v>69</v>
      </c>
      <c r="O36" s="222">
        <v>67</v>
      </c>
      <c r="P36" s="222">
        <v>135</v>
      </c>
      <c r="Q36" s="222">
        <v>135</v>
      </c>
      <c r="R36" s="222">
        <v>79</v>
      </c>
      <c r="S36" s="222">
        <v>122</v>
      </c>
    </row>
    <row r="37" spans="1:19" s="194" customFormat="1" ht="24" customHeight="1">
      <c r="A37" s="214" t="s">
        <v>127</v>
      </c>
      <c r="B37" s="216">
        <v>170</v>
      </c>
      <c r="C37" s="216">
        <v>140</v>
      </c>
      <c r="D37" s="216">
        <v>148</v>
      </c>
      <c r="E37" s="216">
        <v>222</v>
      </c>
      <c r="F37" s="216">
        <v>182</v>
      </c>
      <c r="G37" s="216">
        <f t="shared" si="0"/>
        <v>153</v>
      </c>
      <c r="H37" s="217">
        <v>49</v>
      </c>
      <c r="I37" s="218">
        <v>37</v>
      </c>
      <c r="J37" s="218">
        <v>40</v>
      </c>
      <c r="K37" s="219">
        <v>27</v>
      </c>
      <c r="L37" s="220">
        <v>183</v>
      </c>
      <c r="M37" s="266">
        <f t="shared" si="1"/>
        <v>196</v>
      </c>
      <c r="N37" s="222">
        <v>46</v>
      </c>
      <c r="O37" s="222">
        <v>39</v>
      </c>
      <c r="P37" s="222">
        <v>65</v>
      </c>
      <c r="Q37" s="222">
        <v>46</v>
      </c>
      <c r="R37" s="222">
        <v>46</v>
      </c>
      <c r="S37" s="222">
        <v>68</v>
      </c>
    </row>
    <row r="38" spans="1:19" s="194" customFormat="1" ht="24" customHeight="1">
      <c r="A38" s="214" t="s">
        <v>128</v>
      </c>
      <c r="B38" s="267">
        <v>569</v>
      </c>
      <c r="C38" s="267">
        <v>454</v>
      </c>
      <c r="D38" s="267">
        <v>437</v>
      </c>
      <c r="E38" s="267">
        <v>604</v>
      </c>
      <c r="F38" s="216">
        <v>566</v>
      </c>
      <c r="G38" s="216">
        <f t="shared" si="0"/>
        <v>728</v>
      </c>
      <c r="H38" s="217">
        <v>151</v>
      </c>
      <c r="I38" s="218">
        <v>176</v>
      </c>
      <c r="J38" s="218">
        <v>172</v>
      </c>
      <c r="K38" s="219">
        <v>229</v>
      </c>
      <c r="L38" s="220">
        <v>703</v>
      </c>
      <c r="M38" s="266">
        <f t="shared" si="1"/>
        <v>789</v>
      </c>
      <c r="N38" s="222">
        <v>188</v>
      </c>
      <c r="O38" s="222">
        <v>146</v>
      </c>
      <c r="P38" s="222">
        <v>175</v>
      </c>
      <c r="Q38" s="222">
        <v>280</v>
      </c>
      <c r="R38" s="222">
        <v>196</v>
      </c>
      <c r="S38" s="222">
        <v>237</v>
      </c>
    </row>
    <row r="39" spans="1:19" s="194" customFormat="1" ht="24" customHeight="1">
      <c r="A39" s="214" t="s">
        <v>129</v>
      </c>
      <c r="B39" s="216">
        <v>1137</v>
      </c>
      <c r="C39" s="216">
        <v>1034</v>
      </c>
      <c r="D39" s="216">
        <v>1123</v>
      </c>
      <c r="E39" s="216">
        <v>1170</v>
      </c>
      <c r="F39" s="216">
        <v>875</v>
      </c>
      <c r="G39" s="216">
        <f t="shared" si="0"/>
        <v>1113</v>
      </c>
      <c r="H39" s="217">
        <v>273</v>
      </c>
      <c r="I39" s="218">
        <v>290</v>
      </c>
      <c r="J39" s="218">
        <v>277</v>
      </c>
      <c r="K39" s="219">
        <v>273</v>
      </c>
      <c r="L39" s="220">
        <v>1247</v>
      </c>
      <c r="M39" s="266">
        <f t="shared" si="1"/>
        <v>1535</v>
      </c>
      <c r="N39" s="222">
        <v>315</v>
      </c>
      <c r="O39" s="222">
        <v>298</v>
      </c>
      <c r="P39" s="222">
        <v>380</v>
      </c>
      <c r="Q39" s="222">
        <v>542</v>
      </c>
      <c r="R39" s="222">
        <v>304</v>
      </c>
      <c r="S39" s="222">
        <v>367</v>
      </c>
    </row>
    <row r="40" spans="1:19" s="194" customFormat="1" ht="24" customHeight="1">
      <c r="A40" s="214" t="s">
        <v>130</v>
      </c>
      <c r="B40" s="216">
        <v>454</v>
      </c>
      <c r="C40" s="216">
        <v>419</v>
      </c>
      <c r="D40" s="216">
        <v>446</v>
      </c>
      <c r="E40" s="216">
        <v>431</v>
      </c>
      <c r="F40" s="216">
        <v>404</v>
      </c>
      <c r="G40" s="216">
        <f t="shared" si="0"/>
        <v>495</v>
      </c>
      <c r="H40" s="217">
        <v>103</v>
      </c>
      <c r="I40" s="218">
        <v>140</v>
      </c>
      <c r="J40" s="218">
        <v>122</v>
      </c>
      <c r="K40" s="219">
        <v>130</v>
      </c>
      <c r="L40" s="220">
        <v>595</v>
      </c>
      <c r="M40" s="266">
        <f t="shared" si="1"/>
        <v>796</v>
      </c>
      <c r="N40" s="222">
        <v>151</v>
      </c>
      <c r="O40" s="222">
        <v>156</v>
      </c>
      <c r="P40" s="222">
        <v>193</v>
      </c>
      <c r="Q40" s="222">
        <v>296</v>
      </c>
      <c r="R40" s="222">
        <v>176</v>
      </c>
      <c r="S40" s="222">
        <v>194</v>
      </c>
    </row>
    <row r="41" spans="1:19" s="194" customFormat="1" ht="24" customHeight="1">
      <c r="A41" s="214" t="s">
        <v>131</v>
      </c>
      <c r="B41" s="216">
        <v>363</v>
      </c>
      <c r="C41" s="216">
        <v>236</v>
      </c>
      <c r="D41" s="216">
        <v>270</v>
      </c>
      <c r="E41" s="216">
        <v>287</v>
      </c>
      <c r="F41" s="216">
        <v>233</v>
      </c>
      <c r="G41" s="216">
        <f t="shared" si="0"/>
        <v>337</v>
      </c>
      <c r="H41" s="217">
        <v>108</v>
      </c>
      <c r="I41" s="218">
        <v>86</v>
      </c>
      <c r="J41" s="218">
        <v>69</v>
      </c>
      <c r="K41" s="219">
        <v>74</v>
      </c>
      <c r="L41" s="220">
        <v>322</v>
      </c>
      <c r="M41" s="266">
        <f t="shared" si="1"/>
        <v>405</v>
      </c>
      <c r="N41" s="222">
        <v>103</v>
      </c>
      <c r="O41" s="222">
        <v>70</v>
      </c>
      <c r="P41" s="222">
        <v>94</v>
      </c>
      <c r="Q41" s="222">
        <v>138</v>
      </c>
      <c r="R41" s="222">
        <v>107</v>
      </c>
      <c r="S41" s="222">
        <v>131</v>
      </c>
    </row>
    <row r="42" spans="1:19" s="194" customFormat="1" ht="24" customHeight="1">
      <c r="A42" s="214" t="s">
        <v>132</v>
      </c>
      <c r="B42" s="267">
        <v>251</v>
      </c>
      <c r="C42" s="267">
        <v>229</v>
      </c>
      <c r="D42" s="267">
        <v>222</v>
      </c>
      <c r="E42" s="267">
        <v>214</v>
      </c>
      <c r="F42" s="216">
        <v>170</v>
      </c>
      <c r="G42" s="216">
        <f t="shared" si="0"/>
        <v>225</v>
      </c>
      <c r="H42" s="217">
        <v>47</v>
      </c>
      <c r="I42" s="218">
        <v>70</v>
      </c>
      <c r="J42" s="218">
        <v>42</v>
      </c>
      <c r="K42" s="219">
        <v>66</v>
      </c>
      <c r="L42" s="220">
        <v>261</v>
      </c>
      <c r="M42" s="266">
        <f t="shared" si="1"/>
        <v>274</v>
      </c>
      <c r="N42" s="222">
        <v>60</v>
      </c>
      <c r="O42" s="222">
        <v>61</v>
      </c>
      <c r="P42" s="222">
        <v>81</v>
      </c>
      <c r="Q42" s="222">
        <v>72</v>
      </c>
      <c r="R42" s="222">
        <v>69</v>
      </c>
      <c r="S42" s="222">
        <v>51</v>
      </c>
    </row>
    <row r="43" spans="1:19" s="194" customFormat="1" ht="24" customHeight="1">
      <c r="A43" s="214" t="s">
        <v>133</v>
      </c>
      <c r="B43" s="216">
        <v>450</v>
      </c>
      <c r="C43" s="216">
        <v>457</v>
      </c>
      <c r="D43" s="216">
        <v>452</v>
      </c>
      <c r="E43" s="216">
        <v>403</v>
      </c>
      <c r="F43" s="216">
        <v>437</v>
      </c>
      <c r="G43" s="216">
        <f t="shared" si="0"/>
        <v>544</v>
      </c>
      <c r="H43" s="217">
        <v>141</v>
      </c>
      <c r="I43" s="218">
        <v>145</v>
      </c>
      <c r="J43" s="218">
        <v>116</v>
      </c>
      <c r="K43" s="219">
        <v>142</v>
      </c>
      <c r="L43" s="220">
        <v>704</v>
      </c>
      <c r="M43" s="266">
        <f t="shared" si="1"/>
        <v>868</v>
      </c>
      <c r="N43" s="222">
        <v>168</v>
      </c>
      <c r="O43" s="222">
        <v>166</v>
      </c>
      <c r="P43" s="222">
        <v>225</v>
      </c>
      <c r="Q43" s="222">
        <v>309</v>
      </c>
      <c r="R43" s="222">
        <v>193</v>
      </c>
      <c r="S43" s="222">
        <v>282</v>
      </c>
    </row>
    <row r="44" spans="1:19" s="194" customFormat="1" ht="24" customHeight="1">
      <c r="A44" s="214" t="s">
        <v>134</v>
      </c>
      <c r="B44" s="216">
        <v>232</v>
      </c>
      <c r="C44" s="216">
        <v>228</v>
      </c>
      <c r="D44" s="216">
        <v>310</v>
      </c>
      <c r="E44" s="216">
        <v>267</v>
      </c>
      <c r="F44" s="216">
        <v>248</v>
      </c>
      <c r="G44" s="216">
        <f t="shared" si="0"/>
        <v>374</v>
      </c>
      <c r="H44" s="217">
        <v>80</v>
      </c>
      <c r="I44" s="218">
        <v>87</v>
      </c>
      <c r="J44" s="218">
        <v>103</v>
      </c>
      <c r="K44" s="219">
        <v>104</v>
      </c>
      <c r="L44" s="220">
        <v>403</v>
      </c>
      <c r="M44" s="266">
        <f t="shared" si="1"/>
        <v>541</v>
      </c>
      <c r="N44" s="222">
        <v>101</v>
      </c>
      <c r="O44" s="222">
        <v>104</v>
      </c>
      <c r="P44" s="222">
        <v>158</v>
      </c>
      <c r="Q44" s="222">
        <v>178</v>
      </c>
      <c r="R44" s="222">
        <v>120</v>
      </c>
      <c r="S44" s="222">
        <v>125</v>
      </c>
    </row>
    <row r="45" spans="1:19" s="194" customFormat="1" ht="24" customHeight="1">
      <c r="A45" s="214" t="s">
        <v>136</v>
      </c>
      <c r="B45" s="216">
        <v>2372</v>
      </c>
      <c r="C45" s="216">
        <v>2236</v>
      </c>
      <c r="D45" s="216">
        <v>2241</v>
      </c>
      <c r="E45" s="216">
        <v>2908</v>
      </c>
      <c r="F45" s="216">
        <v>3333</v>
      </c>
      <c r="G45" s="216">
        <f t="shared" si="0"/>
        <v>4128</v>
      </c>
      <c r="H45" s="217">
        <v>1008</v>
      </c>
      <c r="I45" s="218">
        <v>1096</v>
      </c>
      <c r="J45" s="218">
        <v>896</v>
      </c>
      <c r="K45" s="219">
        <v>1128</v>
      </c>
      <c r="L45" s="220">
        <v>4631</v>
      </c>
      <c r="M45" s="266">
        <f t="shared" si="1"/>
        <v>5146</v>
      </c>
      <c r="N45" s="222">
        <v>1140</v>
      </c>
      <c r="O45" s="222">
        <v>1132</v>
      </c>
      <c r="P45" s="222">
        <v>1196</v>
      </c>
      <c r="Q45" s="222">
        <v>1678</v>
      </c>
      <c r="R45" s="222">
        <v>1157</v>
      </c>
      <c r="S45" s="222">
        <v>1294</v>
      </c>
    </row>
    <row r="46" spans="1:19" s="194" customFormat="1" ht="24" customHeight="1">
      <c r="A46" s="214" t="s">
        <v>137</v>
      </c>
      <c r="B46" s="216">
        <v>421</v>
      </c>
      <c r="C46" s="216">
        <v>462</v>
      </c>
      <c r="D46" s="216">
        <v>472</v>
      </c>
      <c r="E46" s="216">
        <v>517</v>
      </c>
      <c r="F46" s="216">
        <v>435</v>
      </c>
      <c r="G46" s="216">
        <f t="shared" si="0"/>
        <v>608</v>
      </c>
      <c r="H46" s="217">
        <v>90</v>
      </c>
      <c r="I46" s="218">
        <v>148</v>
      </c>
      <c r="J46" s="218">
        <v>102</v>
      </c>
      <c r="K46" s="219">
        <v>268</v>
      </c>
      <c r="L46" s="220">
        <v>877</v>
      </c>
      <c r="M46" s="266">
        <f t="shared" si="1"/>
        <v>1113</v>
      </c>
      <c r="N46" s="222">
        <v>211</v>
      </c>
      <c r="O46" s="222">
        <v>350</v>
      </c>
      <c r="P46" s="222">
        <v>218</v>
      </c>
      <c r="Q46" s="222">
        <v>334</v>
      </c>
      <c r="R46" s="222">
        <v>265</v>
      </c>
      <c r="S46" s="222">
        <v>265</v>
      </c>
    </row>
    <row r="47" spans="1:19" s="194" customFormat="1" ht="24" customHeight="1">
      <c r="A47" s="214" t="s">
        <v>138</v>
      </c>
      <c r="B47" s="216">
        <v>405</v>
      </c>
      <c r="C47" s="216">
        <v>387</v>
      </c>
      <c r="D47" s="216">
        <v>413</v>
      </c>
      <c r="E47" s="216">
        <v>443</v>
      </c>
      <c r="F47" s="216">
        <v>495</v>
      </c>
      <c r="G47" s="216">
        <f t="shared" si="0"/>
        <v>497</v>
      </c>
      <c r="H47" s="217">
        <v>141</v>
      </c>
      <c r="I47" s="218">
        <v>126</v>
      </c>
      <c r="J47" s="218">
        <v>113</v>
      </c>
      <c r="K47" s="219">
        <v>117</v>
      </c>
      <c r="L47" s="220">
        <v>447</v>
      </c>
      <c r="M47" s="266">
        <f t="shared" si="1"/>
        <v>598</v>
      </c>
      <c r="N47" s="222">
        <v>129</v>
      </c>
      <c r="O47" s="222">
        <v>141</v>
      </c>
      <c r="P47" s="222">
        <v>148</v>
      </c>
      <c r="Q47" s="222">
        <v>180</v>
      </c>
      <c r="R47" s="222">
        <v>168</v>
      </c>
      <c r="S47" s="222">
        <v>147</v>
      </c>
    </row>
    <row r="48" spans="1:19" s="194" customFormat="1" ht="24" customHeight="1">
      <c r="A48" s="214" t="s">
        <v>139</v>
      </c>
      <c r="B48" s="216">
        <v>498</v>
      </c>
      <c r="C48" s="216">
        <v>528</v>
      </c>
      <c r="D48" s="216">
        <v>619</v>
      </c>
      <c r="E48" s="216">
        <v>785</v>
      </c>
      <c r="F48" s="216">
        <v>655</v>
      </c>
      <c r="G48" s="216">
        <f t="shared" si="0"/>
        <v>869</v>
      </c>
      <c r="H48" s="217">
        <v>194</v>
      </c>
      <c r="I48" s="218">
        <v>203</v>
      </c>
      <c r="J48" s="218">
        <v>265</v>
      </c>
      <c r="K48" s="219">
        <v>207</v>
      </c>
      <c r="L48" s="220">
        <v>1141</v>
      </c>
      <c r="M48" s="266">
        <f t="shared" si="1"/>
        <v>1405</v>
      </c>
      <c r="N48" s="222">
        <v>328</v>
      </c>
      <c r="O48" s="222">
        <v>305</v>
      </c>
      <c r="P48" s="222">
        <v>358</v>
      </c>
      <c r="Q48" s="222">
        <v>414</v>
      </c>
      <c r="R48" s="222">
        <v>316</v>
      </c>
      <c r="S48" s="222">
        <v>344</v>
      </c>
    </row>
    <row r="49" spans="1:19" s="194" customFormat="1" ht="24" customHeight="1">
      <c r="A49" s="214" t="s">
        <v>140</v>
      </c>
      <c r="B49" s="216">
        <v>332</v>
      </c>
      <c r="C49" s="216">
        <v>307</v>
      </c>
      <c r="D49" s="216">
        <v>323</v>
      </c>
      <c r="E49" s="216">
        <v>543</v>
      </c>
      <c r="F49" s="216">
        <v>299</v>
      </c>
      <c r="G49" s="216">
        <f t="shared" si="0"/>
        <v>404</v>
      </c>
      <c r="H49" s="217">
        <v>105</v>
      </c>
      <c r="I49" s="218">
        <v>107</v>
      </c>
      <c r="J49" s="218">
        <v>98</v>
      </c>
      <c r="K49" s="219">
        <v>94</v>
      </c>
      <c r="L49" s="220">
        <v>415</v>
      </c>
      <c r="M49" s="266">
        <f t="shared" si="1"/>
        <v>539</v>
      </c>
      <c r="N49" s="222">
        <v>113</v>
      </c>
      <c r="O49" s="222">
        <v>109</v>
      </c>
      <c r="P49" s="222">
        <v>135</v>
      </c>
      <c r="Q49" s="222">
        <v>182</v>
      </c>
      <c r="R49" s="222">
        <v>118</v>
      </c>
      <c r="S49" s="222">
        <v>159</v>
      </c>
    </row>
    <row r="50" spans="1:19" s="194" customFormat="1" ht="24" customHeight="1">
      <c r="A50" s="214" t="s">
        <v>141</v>
      </c>
      <c r="B50" s="267">
        <v>255</v>
      </c>
      <c r="C50" s="267">
        <v>294</v>
      </c>
      <c r="D50" s="267">
        <v>350</v>
      </c>
      <c r="E50" s="267">
        <v>360</v>
      </c>
      <c r="F50" s="216">
        <v>315</v>
      </c>
      <c r="G50" s="216">
        <f t="shared" si="0"/>
        <v>375</v>
      </c>
      <c r="H50" s="217">
        <v>114</v>
      </c>
      <c r="I50" s="218">
        <v>97</v>
      </c>
      <c r="J50" s="218">
        <v>77</v>
      </c>
      <c r="K50" s="219">
        <v>87</v>
      </c>
      <c r="L50" s="220">
        <v>421</v>
      </c>
      <c r="M50" s="266">
        <f t="shared" si="1"/>
        <v>509</v>
      </c>
      <c r="N50" s="222">
        <v>150</v>
      </c>
      <c r="O50" s="222">
        <v>103</v>
      </c>
      <c r="P50" s="222">
        <v>87</v>
      </c>
      <c r="Q50" s="222">
        <v>169</v>
      </c>
      <c r="R50" s="222">
        <v>134</v>
      </c>
      <c r="S50" s="222">
        <v>171</v>
      </c>
    </row>
    <row r="51" spans="1:19" s="194" customFormat="1" ht="24" customHeight="1">
      <c r="A51" s="214" t="s">
        <v>142</v>
      </c>
      <c r="B51" s="216">
        <v>332</v>
      </c>
      <c r="C51" s="216">
        <v>280</v>
      </c>
      <c r="D51" s="216">
        <v>326</v>
      </c>
      <c r="E51" s="216">
        <v>282</v>
      </c>
      <c r="F51" s="216">
        <v>258</v>
      </c>
      <c r="G51" s="216">
        <f t="shared" si="0"/>
        <v>334</v>
      </c>
      <c r="H51" s="217">
        <v>78</v>
      </c>
      <c r="I51" s="218">
        <v>95</v>
      </c>
      <c r="J51" s="218">
        <v>83</v>
      </c>
      <c r="K51" s="219">
        <v>78</v>
      </c>
      <c r="L51" s="220">
        <v>420</v>
      </c>
      <c r="M51" s="266">
        <f t="shared" si="1"/>
        <v>604</v>
      </c>
      <c r="N51" s="222">
        <v>121</v>
      </c>
      <c r="O51" s="222">
        <v>120</v>
      </c>
      <c r="P51" s="222">
        <v>122</v>
      </c>
      <c r="Q51" s="222">
        <v>241</v>
      </c>
      <c r="R51" s="222">
        <v>183</v>
      </c>
      <c r="S51" s="222">
        <v>182</v>
      </c>
    </row>
    <row r="52" spans="1:19" s="194" customFormat="1" ht="24" customHeight="1" thickBot="1">
      <c r="A52" s="225" t="s">
        <v>143</v>
      </c>
      <c r="B52" s="268">
        <v>963</v>
      </c>
      <c r="C52" s="268">
        <v>687</v>
      </c>
      <c r="D52" s="268">
        <v>701</v>
      </c>
      <c r="E52" s="269">
        <v>936</v>
      </c>
      <c r="F52" s="216">
        <v>833</v>
      </c>
      <c r="G52" s="216">
        <f t="shared" si="0"/>
        <v>1042</v>
      </c>
      <c r="H52" s="217">
        <v>244</v>
      </c>
      <c r="I52" s="229">
        <v>285</v>
      </c>
      <c r="J52" s="229">
        <v>232</v>
      </c>
      <c r="K52" s="230">
        <v>281</v>
      </c>
      <c r="L52" s="270">
        <v>1352</v>
      </c>
      <c r="M52" s="271">
        <f t="shared" si="1"/>
        <v>1930</v>
      </c>
      <c r="N52" s="233">
        <v>383</v>
      </c>
      <c r="O52" s="233">
        <v>461</v>
      </c>
      <c r="P52" s="233">
        <v>439</v>
      </c>
      <c r="Q52" s="233">
        <v>647</v>
      </c>
      <c r="R52" s="233">
        <v>628</v>
      </c>
      <c r="S52" s="233">
        <v>519</v>
      </c>
    </row>
    <row r="53" spans="1:19" s="194" customFormat="1" ht="15.75" customHeight="1" thickTop="1">
      <c r="A53" s="423" t="s">
        <v>38</v>
      </c>
      <c r="B53" s="417">
        <v>53218</v>
      </c>
      <c r="C53" s="417">
        <v>48218</v>
      </c>
      <c r="D53" s="417">
        <v>48754</v>
      </c>
      <c r="E53" s="417">
        <v>69925</v>
      </c>
      <c r="F53" s="421">
        <v>49429</v>
      </c>
      <c r="G53" s="421">
        <v>59237</v>
      </c>
      <c r="H53" s="272">
        <v>14648</v>
      </c>
      <c r="I53" s="273">
        <v>15625</v>
      </c>
      <c r="J53" s="274">
        <v>13732</v>
      </c>
      <c r="K53" s="275">
        <v>15232</v>
      </c>
      <c r="L53" s="421">
        <v>68774</v>
      </c>
      <c r="M53" s="276"/>
      <c r="N53" s="277">
        <f aca="true" t="shared" si="2" ref="N53:S53">SUM(N6:N52)</f>
        <v>20820</v>
      </c>
      <c r="O53" s="277">
        <f t="shared" si="2"/>
        <v>16398</v>
      </c>
      <c r="P53" s="277">
        <f t="shared" si="2"/>
        <v>19976</v>
      </c>
      <c r="Q53" s="277">
        <f t="shared" si="2"/>
        <v>23705</v>
      </c>
      <c r="R53" s="277">
        <f t="shared" si="2"/>
        <v>18457</v>
      </c>
      <c r="S53" s="277">
        <f t="shared" si="2"/>
        <v>20369</v>
      </c>
    </row>
    <row r="54" spans="1:19" s="194" customFormat="1" ht="13.5" customHeight="1">
      <c r="A54" s="424"/>
      <c r="B54" s="418"/>
      <c r="C54" s="418"/>
      <c r="D54" s="418"/>
      <c r="E54" s="418"/>
      <c r="F54" s="422"/>
      <c r="G54" s="422"/>
      <c r="H54" s="278">
        <v>3252</v>
      </c>
      <c r="I54" s="279">
        <v>4001</v>
      </c>
      <c r="J54" s="279">
        <v>4119</v>
      </c>
      <c r="K54" s="280">
        <v>4930</v>
      </c>
      <c r="L54" s="422"/>
      <c r="M54" s="281">
        <f>N55</f>
        <v>80899</v>
      </c>
      <c r="N54" s="282" t="s">
        <v>184</v>
      </c>
      <c r="O54" s="282" t="s">
        <v>185</v>
      </c>
      <c r="P54" s="282" t="s">
        <v>186</v>
      </c>
      <c r="Q54" s="282" t="s">
        <v>187</v>
      </c>
      <c r="R54" s="282" t="s">
        <v>188</v>
      </c>
      <c r="S54" s="282" t="s">
        <v>189</v>
      </c>
    </row>
    <row r="55" spans="1:21" s="194" customFormat="1" ht="18.75" customHeight="1">
      <c r="A55" s="415" t="s">
        <v>157</v>
      </c>
      <c r="B55" s="425"/>
      <c r="C55" s="425"/>
      <c r="D55" s="425"/>
      <c r="E55" s="419"/>
      <c r="F55" s="407">
        <v>12223</v>
      </c>
      <c r="G55" s="407">
        <v>16302</v>
      </c>
      <c r="H55" s="435">
        <v>59237</v>
      </c>
      <c r="I55" s="436"/>
      <c r="J55" s="436"/>
      <c r="K55" s="437"/>
      <c r="L55" s="407">
        <v>20230</v>
      </c>
      <c r="M55" s="407">
        <v>19388</v>
      </c>
      <c r="N55" s="409">
        <f>N53+O53+Q53+P53</f>
        <v>80899</v>
      </c>
      <c r="O55" s="410"/>
      <c r="P55" s="410"/>
      <c r="Q55" s="411"/>
      <c r="R55" s="409">
        <f>R53+S53</f>
        <v>38826</v>
      </c>
      <c r="S55" s="431"/>
      <c r="T55" s="283"/>
      <c r="U55" s="245"/>
    </row>
    <row r="56" spans="1:21" s="194" customFormat="1" ht="12.75" customHeight="1">
      <c r="A56" s="416"/>
      <c r="B56" s="426"/>
      <c r="C56" s="426"/>
      <c r="D56" s="426"/>
      <c r="E56" s="420"/>
      <c r="F56" s="408"/>
      <c r="G56" s="408"/>
      <c r="H56" s="432">
        <v>16302</v>
      </c>
      <c r="I56" s="433"/>
      <c r="J56" s="433"/>
      <c r="K56" s="434"/>
      <c r="L56" s="408"/>
      <c r="M56" s="408"/>
      <c r="N56" s="412">
        <f>N54+Q54+O54+P54</f>
        <v>-19388</v>
      </c>
      <c r="O56" s="413"/>
      <c r="P56" s="413"/>
      <c r="Q56" s="414"/>
      <c r="R56" s="284"/>
      <c r="S56" s="285">
        <f>R54+S54</f>
        <v>-10942</v>
      </c>
      <c r="T56" s="286"/>
      <c r="U56" s="287"/>
    </row>
    <row r="57" spans="1:18" s="194" customFormat="1" ht="15" customHeight="1">
      <c r="A57" s="288" t="s">
        <v>190</v>
      </c>
      <c r="B57" s="242"/>
      <c r="C57" s="242"/>
      <c r="D57" s="242"/>
      <c r="E57" s="242"/>
      <c r="F57" s="242"/>
      <c r="G57" s="242"/>
      <c r="H57" s="289"/>
      <c r="I57" s="289"/>
      <c r="J57" s="289"/>
      <c r="K57" s="289"/>
      <c r="L57" s="289"/>
      <c r="M57" s="289"/>
      <c r="R57" s="244"/>
    </row>
  </sheetData>
  <sheetProtection/>
  <mergeCells count="30">
    <mergeCell ref="G3:K3"/>
    <mergeCell ref="G4:G5"/>
    <mergeCell ref="M3:Q3"/>
    <mergeCell ref="R55:S55"/>
    <mergeCell ref="L53:L54"/>
    <mergeCell ref="L55:L56"/>
    <mergeCell ref="H56:K56"/>
    <mergeCell ref="H55:K55"/>
    <mergeCell ref="E4:E5"/>
    <mergeCell ref="F4:F5"/>
    <mergeCell ref="B4:B5"/>
    <mergeCell ref="C4:C5"/>
    <mergeCell ref="D4:D5"/>
    <mergeCell ref="L4:L5"/>
    <mergeCell ref="F55:F56"/>
    <mergeCell ref="G53:G54"/>
    <mergeCell ref="A53:A54"/>
    <mergeCell ref="B53:B56"/>
    <mergeCell ref="C53:C56"/>
    <mergeCell ref="D53:D56"/>
    <mergeCell ref="R3:S3"/>
    <mergeCell ref="A1:S1"/>
    <mergeCell ref="M4:M5"/>
    <mergeCell ref="M55:M56"/>
    <mergeCell ref="N55:Q55"/>
    <mergeCell ref="N56:Q56"/>
    <mergeCell ref="A55:A56"/>
    <mergeCell ref="G55:G56"/>
    <mergeCell ref="E53:E56"/>
    <mergeCell ref="F53:F54"/>
  </mergeCells>
  <printOptions horizontalCentered="1"/>
  <pageMargins left="0.4724409448818898" right="0" top="0.2755905511811024" bottom="0" header="0.8267716535433072" footer="0.1968503937007874"/>
  <pageSetup fitToHeight="1" fitToWidth="1" horizontalDpi="160" verticalDpi="160" orientation="portrait"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S64"/>
  <sheetViews>
    <sheetView view="pageBreakPreview" zoomScale="75" zoomScaleNormal="111" zoomScaleSheetLayoutView="75" zoomScalePageLayoutView="0" workbookViewId="0" topLeftCell="A1">
      <pane xSplit="1" ySplit="5" topLeftCell="B6" activePane="bottomRight" state="frozen"/>
      <selection pane="topLeft" activeCell="P43" sqref="P43"/>
      <selection pane="topRight" activeCell="P43" sqref="P43"/>
      <selection pane="bottomLeft" activeCell="P43" sqref="P43"/>
      <selection pane="bottomRight" activeCell="A1" sqref="A1:S1"/>
    </sheetView>
  </sheetViews>
  <sheetFormatPr defaultColWidth="8.75390625" defaultRowHeight="27" customHeight="1"/>
  <cols>
    <col min="1" max="1" width="8.125" style="246" customWidth="1"/>
    <col min="2" max="7" width="8.625" style="243" customWidth="1"/>
    <col min="8" max="10" width="8.625" style="243" hidden="1" customWidth="1"/>
    <col min="11" max="11" width="8.625" style="249" hidden="1" customWidth="1"/>
    <col min="12" max="12" width="8.625" style="249" customWidth="1"/>
    <col min="13" max="13" width="8.00390625" style="249" customWidth="1"/>
    <col min="14" max="18" width="8.625" style="248" customWidth="1"/>
    <col min="19" max="16384" width="8.75390625" style="189" customWidth="1"/>
  </cols>
  <sheetData>
    <row r="1" spans="1:19" s="183" customFormat="1" ht="22.5" customHeight="1">
      <c r="A1" s="440" t="s">
        <v>158</v>
      </c>
      <c r="B1" s="440"/>
      <c r="C1" s="440"/>
      <c r="D1" s="440"/>
      <c r="E1" s="440"/>
      <c r="F1" s="440"/>
      <c r="G1" s="440"/>
      <c r="H1" s="440"/>
      <c r="I1" s="440"/>
      <c r="J1" s="440"/>
      <c r="K1" s="440"/>
      <c r="L1" s="440"/>
      <c r="M1" s="440"/>
      <c r="N1" s="440"/>
      <c r="O1" s="440"/>
      <c r="P1" s="440"/>
      <c r="Q1" s="440"/>
      <c r="R1" s="440"/>
      <c r="S1" s="440"/>
    </row>
    <row r="2" spans="1:19" ht="13.5" customHeight="1">
      <c r="A2" s="184"/>
      <c r="B2" s="185"/>
      <c r="C2" s="185"/>
      <c r="D2" s="185"/>
      <c r="E2" s="185"/>
      <c r="F2" s="185"/>
      <c r="G2" s="185"/>
      <c r="H2" s="185"/>
      <c r="I2" s="185"/>
      <c r="J2" s="185"/>
      <c r="K2" s="186"/>
      <c r="L2" s="186"/>
      <c r="M2" s="187"/>
      <c r="N2" s="188" t="s">
        <v>159</v>
      </c>
      <c r="O2" s="188"/>
      <c r="P2" s="188"/>
      <c r="Q2" s="188"/>
      <c r="R2" s="188"/>
      <c r="S2" s="188" t="s">
        <v>160</v>
      </c>
    </row>
    <row r="3" spans="1:19" s="194" customFormat="1" ht="18" customHeight="1">
      <c r="A3" s="190"/>
      <c r="B3" s="191" t="s">
        <v>161</v>
      </c>
      <c r="C3" s="191" t="s">
        <v>162</v>
      </c>
      <c r="D3" s="191" t="s">
        <v>163</v>
      </c>
      <c r="E3" s="191" t="s">
        <v>164</v>
      </c>
      <c r="F3" s="192" t="s">
        <v>165</v>
      </c>
      <c r="G3" s="402" t="s">
        <v>166</v>
      </c>
      <c r="H3" s="427"/>
      <c r="I3" s="427"/>
      <c r="J3" s="427"/>
      <c r="K3" s="403"/>
      <c r="L3" s="193" t="s">
        <v>167</v>
      </c>
      <c r="M3" s="428" t="s">
        <v>168</v>
      </c>
      <c r="N3" s="429"/>
      <c r="O3" s="429"/>
      <c r="P3" s="429"/>
      <c r="Q3" s="430"/>
      <c r="R3" s="402" t="s">
        <v>169</v>
      </c>
      <c r="S3" s="403"/>
    </row>
    <row r="4" spans="1:19" s="194" customFormat="1" ht="18" customHeight="1">
      <c r="A4" s="195" t="s">
        <v>150</v>
      </c>
      <c r="B4" s="448" t="s">
        <v>170</v>
      </c>
      <c r="C4" s="448" t="s">
        <v>170</v>
      </c>
      <c r="D4" s="448" t="s">
        <v>170</v>
      </c>
      <c r="E4" s="448" t="s">
        <v>170</v>
      </c>
      <c r="F4" s="448" t="s">
        <v>170</v>
      </c>
      <c r="G4" s="448" t="s">
        <v>170</v>
      </c>
      <c r="H4" s="196" t="s">
        <v>151</v>
      </c>
      <c r="I4" s="197" t="s">
        <v>152</v>
      </c>
      <c r="J4" s="197" t="s">
        <v>171</v>
      </c>
      <c r="K4" s="198" t="s">
        <v>153</v>
      </c>
      <c r="L4" s="450" t="s">
        <v>170</v>
      </c>
      <c r="M4" s="450" t="s">
        <v>170</v>
      </c>
      <c r="N4" s="199" t="s">
        <v>151</v>
      </c>
      <c r="O4" s="199" t="s">
        <v>172</v>
      </c>
      <c r="P4" s="199" t="s">
        <v>173</v>
      </c>
      <c r="Q4" s="199" t="s">
        <v>174</v>
      </c>
      <c r="R4" s="199" t="s">
        <v>151</v>
      </c>
      <c r="S4" s="199" t="s">
        <v>152</v>
      </c>
    </row>
    <row r="5" spans="1:19" s="194" customFormat="1" ht="18" customHeight="1" thickBot="1">
      <c r="A5" s="200"/>
      <c r="B5" s="449"/>
      <c r="C5" s="449"/>
      <c r="D5" s="449"/>
      <c r="E5" s="449"/>
      <c r="F5" s="449"/>
      <c r="G5" s="449"/>
      <c r="H5" s="201" t="s">
        <v>154</v>
      </c>
      <c r="I5" s="202" t="s">
        <v>155</v>
      </c>
      <c r="J5" s="202" t="s">
        <v>175</v>
      </c>
      <c r="K5" s="203" t="s">
        <v>156</v>
      </c>
      <c r="L5" s="451"/>
      <c r="M5" s="451"/>
      <c r="N5" s="204" t="s">
        <v>154</v>
      </c>
      <c r="O5" s="204" t="s">
        <v>176</v>
      </c>
      <c r="P5" s="204" t="s">
        <v>177</v>
      </c>
      <c r="Q5" s="205" t="s">
        <v>178</v>
      </c>
      <c r="R5" s="204" t="s">
        <v>154</v>
      </c>
      <c r="S5" s="204" t="s">
        <v>176</v>
      </c>
    </row>
    <row r="6" spans="1:19" s="194" customFormat="1" ht="24" customHeight="1" thickTop="1">
      <c r="A6" s="206" t="s">
        <v>87</v>
      </c>
      <c r="B6" s="207">
        <v>2273</v>
      </c>
      <c r="C6" s="208">
        <v>2261</v>
      </c>
      <c r="D6" s="208">
        <v>2306</v>
      </c>
      <c r="E6" s="208">
        <v>2274</v>
      </c>
      <c r="F6" s="208">
        <v>2030</v>
      </c>
      <c r="G6" s="208">
        <f aca="true" t="shared" si="0" ref="G6:G52">SUM(H6:K6)</f>
        <v>2232</v>
      </c>
      <c r="H6" s="209">
        <v>557</v>
      </c>
      <c r="I6" s="210">
        <v>619</v>
      </c>
      <c r="J6" s="210">
        <v>506</v>
      </c>
      <c r="K6" s="211">
        <v>550</v>
      </c>
      <c r="L6" s="208">
        <v>2182</v>
      </c>
      <c r="M6" s="212">
        <v>2837</v>
      </c>
      <c r="N6" s="213">
        <v>693</v>
      </c>
      <c r="O6" s="213">
        <v>646</v>
      </c>
      <c r="P6" s="213">
        <v>730</v>
      </c>
      <c r="Q6" s="213">
        <v>768</v>
      </c>
      <c r="R6" s="213">
        <v>788</v>
      </c>
      <c r="S6" s="213">
        <v>681</v>
      </c>
    </row>
    <row r="7" spans="1:19" s="194" customFormat="1" ht="24" customHeight="1">
      <c r="A7" s="214" t="s">
        <v>91</v>
      </c>
      <c r="B7" s="215">
        <v>619</v>
      </c>
      <c r="C7" s="216">
        <v>759</v>
      </c>
      <c r="D7" s="216">
        <v>718</v>
      </c>
      <c r="E7" s="216">
        <v>1011</v>
      </c>
      <c r="F7" s="216">
        <v>832</v>
      </c>
      <c r="G7" s="216">
        <f t="shared" si="0"/>
        <v>747</v>
      </c>
      <c r="H7" s="217">
        <v>167</v>
      </c>
      <c r="I7" s="218">
        <v>221</v>
      </c>
      <c r="J7" s="218">
        <v>193</v>
      </c>
      <c r="K7" s="219">
        <v>166</v>
      </c>
      <c r="L7" s="220">
        <v>793</v>
      </c>
      <c r="M7" s="221">
        <v>1156</v>
      </c>
      <c r="N7" s="222">
        <v>276</v>
      </c>
      <c r="O7" s="222">
        <v>225</v>
      </c>
      <c r="P7" s="222">
        <v>251</v>
      </c>
      <c r="Q7" s="222">
        <v>404</v>
      </c>
      <c r="R7" s="222">
        <v>352</v>
      </c>
      <c r="S7" s="222">
        <v>322</v>
      </c>
    </row>
    <row r="8" spans="1:19" s="194" customFormat="1" ht="24" customHeight="1">
      <c r="A8" s="214" t="s">
        <v>92</v>
      </c>
      <c r="B8" s="215">
        <v>524</v>
      </c>
      <c r="C8" s="216">
        <v>424</v>
      </c>
      <c r="D8" s="216">
        <v>415</v>
      </c>
      <c r="E8" s="216">
        <v>543</v>
      </c>
      <c r="F8" s="216">
        <v>517</v>
      </c>
      <c r="G8" s="216">
        <f t="shared" si="0"/>
        <v>596</v>
      </c>
      <c r="H8" s="217">
        <v>146</v>
      </c>
      <c r="I8" s="218">
        <v>115</v>
      </c>
      <c r="J8" s="218">
        <v>152</v>
      </c>
      <c r="K8" s="219">
        <v>183</v>
      </c>
      <c r="L8" s="220">
        <v>651</v>
      </c>
      <c r="M8" s="221">
        <v>190</v>
      </c>
      <c r="N8" s="222">
        <v>36</v>
      </c>
      <c r="O8" s="222">
        <v>40</v>
      </c>
      <c r="P8" s="222">
        <v>38</v>
      </c>
      <c r="Q8" s="222">
        <v>76</v>
      </c>
      <c r="R8" s="222">
        <v>78</v>
      </c>
      <c r="S8" s="222">
        <v>125</v>
      </c>
    </row>
    <row r="9" spans="1:19" s="194" customFormat="1" ht="24" customHeight="1">
      <c r="A9" s="214" t="s">
        <v>93</v>
      </c>
      <c r="B9" s="215">
        <v>1419</v>
      </c>
      <c r="C9" s="216">
        <v>1554</v>
      </c>
      <c r="D9" s="216">
        <v>1656</v>
      </c>
      <c r="E9" s="216">
        <v>1751</v>
      </c>
      <c r="F9" s="216">
        <v>1463</v>
      </c>
      <c r="G9" s="216">
        <f t="shared" si="0"/>
        <v>1727</v>
      </c>
      <c r="H9" s="217">
        <v>446</v>
      </c>
      <c r="I9" s="218">
        <v>494</v>
      </c>
      <c r="J9" s="218">
        <v>338</v>
      </c>
      <c r="K9" s="219">
        <v>449</v>
      </c>
      <c r="L9" s="220">
        <v>1752</v>
      </c>
      <c r="M9" s="221">
        <v>646</v>
      </c>
      <c r="N9" s="222">
        <v>152</v>
      </c>
      <c r="O9" s="222">
        <v>136</v>
      </c>
      <c r="P9" s="222">
        <v>192</v>
      </c>
      <c r="Q9" s="222">
        <v>166</v>
      </c>
      <c r="R9" s="222">
        <v>168</v>
      </c>
      <c r="S9" s="222">
        <v>185</v>
      </c>
    </row>
    <row r="10" spans="1:19" s="194" customFormat="1" ht="24" customHeight="1">
      <c r="A10" s="214" t="s">
        <v>94</v>
      </c>
      <c r="B10" s="215">
        <v>425</v>
      </c>
      <c r="C10" s="216">
        <v>419</v>
      </c>
      <c r="D10" s="216">
        <v>530</v>
      </c>
      <c r="E10" s="216">
        <v>550</v>
      </c>
      <c r="F10" s="216">
        <v>416</v>
      </c>
      <c r="G10" s="216">
        <f t="shared" si="0"/>
        <v>502</v>
      </c>
      <c r="H10" s="217">
        <v>139</v>
      </c>
      <c r="I10" s="218">
        <v>105</v>
      </c>
      <c r="J10" s="218">
        <v>123</v>
      </c>
      <c r="K10" s="219">
        <v>135</v>
      </c>
      <c r="L10" s="220">
        <v>825</v>
      </c>
      <c r="M10" s="221">
        <v>171</v>
      </c>
      <c r="N10" s="222">
        <v>49</v>
      </c>
      <c r="O10" s="222">
        <v>49</v>
      </c>
      <c r="P10" s="222">
        <v>38</v>
      </c>
      <c r="Q10" s="222">
        <v>35</v>
      </c>
      <c r="R10" s="222">
        <v>35</v>
      </c>
      <c r="S10" s="222">
        <v>80</v>
      </c>
    </row>
    <row r="11" spans="1:19" s="194" customFormat="1" ht="24" customHeight="1">
      <c r="A11" s="214" t="s">
        <v>95</v>
      </c>
      <c r="B11" s="215">
        <v>637</v>
      </c>
      <c r="C11" s="216">
        <v>521</v>
      </c>
      <c r="D11" s="216">
        <v>638</v>
      </c>
      <c r="E11" s="216">
        <v>695</v>
      </c>
      <c r="F11" s="216">
        <v>548</v>
      </c>
      <c r="G11" s="216">
        <f t="shared" si="0"/>
        <v>738</v>
      </c>
      <c r="H11" s="217">
        <v>211</v>
      </c>
      <c r="I11" s="218">
        <v>163</v>
      </c>
      <c r="J11" s="218">
        <v>136</v>
      </c>
      <c r="K11" s="219">
        <v>228</v>
      </c>
      <c r="L11" s="220">
        <v>956</v>
      </c>
      <c r="M11" s="221">
        <v>398</v>
      </c>
      <c r="N11" s="222">
        <v>81</v>
      </c>
      <c r="O11" s="222">
        <v>90</v>
      </c>
      <c r="P11" s="222">
        <v>125</v>
      </c>
      <c r="Q11" s="222">
        <v>102</v>
      </c>
      <c r="R11" s="222">
        <v>73</v>
      </c>
      <c r="S11" s="222">
        <v>39</v>
      </c>
    </row>
    <row r="12" spans="1:19" s="194" customFormat="1" ht="24" customHeight="1">
      <c r="A12" s="214" t="s">
        <v>96</v>
      </c>
      <c r="B12" s="215">
        <v>846</v>
      </c>
      <c r="C12" s="216">
        <v>567</v>
      </c>
      <c r="D12" s="216">
        <v>1231</v>
      </c>
      <c r="E12" s="216">
        <v>1052</v>
      </c>
      <c r="F12" s="216">
        <v>834</v>
      </c>
      <c r="G12" s="216">
        <f t="shared" si="0"/>
        <v>1000</v>
      </c>
      <c r="H12" s="217">
        <v>282</v>
      </c>
      <c r="I12" s="218">
        <v>248</v>
      </c>
      <c r="J12" s="218">
        <v>236</v>
      </c>
      <c r="K12" s="219">
        <v>234</v>
      </c>
      <c r="L12" s="220">
        <v>1160</v>
      </c>
      <c r="M12" s="221">
        <v>651</v>
      </c>
      <c r="N12" s="222">
        <v>147</v>
      </c>
      <c r="O12" s="222">
        <v>150</v>
      </c>
      <c r="P12" s="222">
        <v>192</v>
      </c>
      <c r="Q12" s="222">
        <v>162</v>
      </c>
      <c r="R12" s="222">
        <v>193</v>
      </c>
      <c r="S12" s="222">
        <v>267</v>
      </c>
    </row>
    <row r="13" spans="1:19" s="194" customFormat="1" ht="24" customHeight="1">
      <c r="A13" s="214" t="s">
        <v>99</v>
      </c>
      <c r="B13" s="215">
        <v>1975</v>
      </c>
      <c r="C13" s="216">
        <v>1602</v>
      </c>
      <c r="D13" s="216">
        <v>1749</v>
      </c>
      <c r="E13" s="216">
        <v>2382</v>
      </c>
      <c r="F13" s="216">
        <v>1410</v>
      </c>
      <c r="G13" s="216">
        <f t="shared" si="0"/>
        <v>1753</v>
      </c>
      <c r="H13" s="217">
        <v>428</v>
      </c>
      <c r="I13" s="218">
        <v>477</v>
      </c>
      <c r="J13" s="218">
        <v>423</v>
      </c>
      <c r="K13" s="219">
        <v>425</v>
      </c>
      <c r="L13" s="220">
        <v>2131</v>
      </c>
      <c r="M13" s="221">
        <v>1818</v>
      </c>
      <c r="N13" s="222">
        <v>480</v>
      </c>
      <c r="O13" s="222">
        <v>357</v>
      </c>
      <c r="P13" s="222">
        <v>431</v>
      </c>
      <c r="Q13" s="222">
        <v>550</v>
      </c>
      <c r="R13" s="222">
        <v>429</v>
      </c>
      <c r="S13" s="222">
        <v>598</v>
      </c>
    </row>
    <row r="14" spans="1:19" s="194" customFormat="1" ht="24" customHeight="1">
      <c r="A14" s="214" t="s">
        <v>100</v>
      </c>
      <c r="B14" s="215">
        <v>1600</v>
      </c>
      <c r="C14" s="216">
        <v>1238</v>
      </c>
      <c r="D14" s="216">
        <v>1449</v>
      </c>
      <c r="E14" s="216">
        <v>1822</v>
      </c>
      <c r="F14" s="216">
        <v>1583</v>
      </c>
      <c r="G14" s="216">
        <f t="shared" si="0"/>
        <v>2194</v>
      </c>
      <c r="H14" s="217">
        <v>552</v>
      </c>
      <c r="I14" s="218">
        <v>552</v>
      </c>
      <c r="J14" s="218">
        <v>548</v>
      </c>
      <c r="K14" s="219">
        <v>542</v>
      </c>
      <c r="L14" s="220">
        <v>2804</v>
      </c>
      <c r="M14" s="221">
        <v>2760</v>
      </c>
      <c r="N14" s="222">
        <v>743</v>
      </c>
      <c r="O14" s="222">
        <v>585</v>
      </c>
      <c r="P14" s="222">
        <v>707</v>
      </c>
      <c r="Q14" s="222">
        <v>725</v>
      </c>
      <c r="R14" s="222">
        <v>618</v>
      </c>
      <c r="S14" s="222">
        <v>656</v>
      </c>
    </row>
    <row r="15" spans="1:19" s="194" customFormat="1" ht="24" customHeight="1">
      <c r="A15" s="214" t="s">
        <v>101</v>
      </c>
      <c r="B15" s="215">
        <v>1844</v>
      </c>
      <c r="C15" s="216">
        <v>1490</v>
      </c>
      <c r="D15" s="216">
        <v>1496</v>
      </c>
      <c r="E15" s="216">
        <v>1785</v>
      </c>
      <c r="F15" s="216">
        <v>1359</v>
      </c>
      <c r="G15" s="216">
        <f t="shared" si="0"/>
        <v>1559</v>
      </c>
      <c r="H15" s="217">
        <v>409</v>
      </c>
      <c r="I15" s="218">
        <v>373</v>
      </c>
      <c r="J15" s="218">
        <v>430</v>
      </c>
      <c r="K15" s="219">
        <v>347</v>
      </c>
      <c r="L15" s="220">
        <v>1512</v>
      </c>
      <c r="M15" s="221">
        <v>1030</v>
      </c>
      <c r="N15" s="222">
        <v>488</v>
      </c>
      <c r="O15" s="222">
        <v>137</v>
      </c>
      <c r="P15" s="222">
        <v>185</v>
      </c>
      <c r="Q15" s="222">
        <v>220</v>
      </c>
      <c r="R15" s="222">
        <v>250</v>
      </c>
      <c r="S15" s="222">
        <v>251</v>
      </c>
    </row>
    <row r="16" spans="1:19" s="194" customFormat="1" ht="24" customHeight="1">
      <c r="A16" s="214" t="s">
        <v>102</v>
      </c>
      <c r="B16" s="215">
        <v>5238</v>
      </c>
      <c r="C16" s="216">
        <v>4497</v>
      </c>
      <c r="D16" s="216">
        <v>5326</v>
      </c>
      <c r="E16" s="216">
        <v>10376</v>
      </c>
      <c r="F16" s="216">
        <v>6125</v>
      </c>
      <c r="G16" s="216">
        <f t="shared" si="0"/>
        <v>6565</v>
      </c>
      <c r="H16" s="217">
        <v>1688</v>
      </c>
      <c r="I16" s="218">
        <v>1634</v>
      </c>
      <c r="J16" s="218">
        <v>1524</v>
      </c>
      <c r="K16" s="219">
        <v>1719</v>
      </c>
      <c r="L16" s="220">
        <v>9144</v>
      </c>
      <c r="M16" s="221">
        <v>13074</v>
      </c>
      <c r="N16" s="222">
        <v>5494</v>
      </c>
      <c r="O16" s="222">
        <v>2204</v>
      </c>
      <c r="P16" s="222">
        <v>2426</v>
      </c>
      <c r="Q16" s="222">
        <v>2950</v>
      </c>
      <c r="R16" s="222">
        <v>2125</v>
      </c>
      <c r="S16" s="222">
        <v>2673</v>
      </c>
    </row>
    <row r="17" spans="1:19" s="194" customFormat="1" ht="24" customHeight="1">
      <c r="A17" s="214" t="s">
        <v>103</v>
      </c>
      <c r="B17" s="215">
        <v>2962</v>
      </c>
      <c r="C17" s="216">
        <v>2587</v>
      </c>
      <c r="D17" s="216">
        <v>2928</v>
      </c>
      <c r="E17" s="216">
        <v>3187</v>
      </c>
      <c r="F17" s="216">
        <v>2788</v>
      </c>
      <c r="G17" s="216">
        <f t="shared" si="0"/>
        <v>4190</v>
      </c>
      <c r="H17" s="217">
        <v>777</v>
      </c>
      <c r="I17" s="218">
        <v>995</v>
      </c>
      <c r="J17" s="218">
        <v>1404</v>
      </c>
      <c r="K17" s="219">
        <v>1014</v>
      </c>
      <c r="L17" s="220">
        <v>4335</v>
      </c>
      <c r="M17" s="221">
        <v>4770</v>
      </c>
      <c r="N17" s="222">
        <v>985</v>
      </c>
      <c r="O17" s="222">
        <v>1027</v>
      </c>
      <c r="P17" s="222">
        <v>1310</v>
      </c>
      <c r="Q17" s="222">
        <v>1448</v>
      </c>
      <c r="R17" s="222">
        <v>1153</v>
      </c>
      <c r="S17" s="222">
        <v>1627</v>
      </c>
    </row>
    <row r="18" spans="1:19" s="194" customFormat="1" ht="24" customHeight="1">
      <c r="A18" s="214" t="s">
        <v>104</v>
      </c>
      <c r="B18" s="215">
        <v>17026</v>
      </c>
      <c r="C18" s="216">
        <v>16958</v>
      </c>
      <c r="D18" s="216">
        <v>16896</v>
      </c>
      <c r="E18" s="216">
        <v>24278</v>
      </c>
      <c r="F18" s="216">
        <v>17198</v>
      </c>
      <c r="G18" s="216">
        <f t="shared" si="0"/>
        <v>23007</v>
      </c>
      <c r="H18" s="217">
        <v>5889</v>
      </c>
      <c r="I18" s="218">
        <v>6025</v>
      </c>
      <c r="J18" s="218">
        <v>5376</v>
      </c>
      <c r="K18" s="219">
        <v>5717</v>
      </c>
      <c r="L18" s="220">
        <v>24355</v>
      </c>
      <c r="M18" s="221">
        <v>45946</v>
      </c>
      <c r="N18" s="222">
        <v>11761</v>
      </c>
      <c r="O18" s="222">
        <v>10347</v>
      </c>
      <c r="P18" s="222">
        <v>11586</v>
      </c>
      <c r="Q18" s="222">
        <v>12252</v>
      </c>
      <c r="R18" s="222">
        <v>11356</v>
      </c>
      <c r="S18" s="222">
        <v>11598</v>
      </c>
    </row>
    <row r="19" spans="1:19" s="194" customFormat="1" ht="24" customHeight="1">
      <c r="A19" s="214" t="s">
        <v>105</v>
      </c>
      <c r="B19" s="215">
        <v>10253</v>
      </c>
      <c r="C19" s="216">
        <v>9657</v>
      </c>
      <c r="D19" s="216">
        <v>9086</v>
      </c>
      <c r="E19" s="216">
        <v>11282</v>
      </c>
      <c r="F19" s="216">
        <v>7779</v>
      </c>
      <c r="G19" s="216">
        <f t="shared" si="0"/>
        <v>8080</v>
      </c>
      <c r="H19" s="217">
        <v>2072</v>
      </c>
      <c r="I19" s="218">
        <v>2114</v>
      </c>
      <c r="J19" s="218">
        <v>1962</v>
      </c>
      <c r="K19" s="219">
        <v>1932</v>
      </c>
      <c r="L19" s="220">
        <v>12605</v>
      </c>
      <c r="M19" s="221">
        <v>15480</v>
      </c>
      <c r="N19" s="222">
        <v>3661</v>
      </c>
      <c r="O19" s="222">
        <v>3368</v>
      </c>
      <c r="P19" s="222">
        <v>3878</v>
      </c>
      <c r="Q19" s="222">
        <v>4573</v>
      </c>
      <c r="R19" s="222">
        <v>3574</v>
      </c>
      <c r="S19" s="222">
        <v>3676</v>
      </c>
    </row>
    <row r="20" spans="1:19" s="194" customFormat="1" ht="24" customHeight="1">
      <c r="A20" s="214" t="s">
        <v>106</v>
      </c>
      <c r="B20" s="215">
        <v>1636</v>
      </c>
      <c r="C20" s="216">
        <v>1384</v>
      </c>
      <c r="D20" s="216">
        <v>1526</v>
      </c>
      <c r="E20" s="216">
        <v>1617</v>
      </c>
      <c r="F20" s="216">
        <v>1121</v>
      </c>
      <c r="G20" s="216">
        <f t="shared" si="0"/>
        <v>1617</v>
      </c>
      <c r="H20" s="217">
        <v>384</v>
      </c>
      <c r="I20" s="218">
        <v>519</v>
      </c>
      <c r="J20" s="218">
        <v>383</v>
      </c>
      <c r="K20" s="219">
        <v>331</v>
      </c>
      <c r="L20" s="220">
        <v>2044</v>
      </c>
      <c r="M20" s="221">
        <v>1920</v>
      </c>
      <c r="N20" s="222">
        <v>514</v>
      </c>
      <c r="O20" s="222">
        <v>366</v>
      </c>
      <c r="P20" s="222">
        <v>518</v>
      </c>
      <c r="Q20" s="222">
        <v>522</v>
      </c>
      <c r="R20" s="222">
        <v>444</v>
      </c>
      <c r="S20" s="222">
        <v>762</v>
      </c>
    </row>
    <row r="21" spans="1:19" s="194" customFormat="1" ht="24" customHeight="1">
      <c r="A21" s="214" t="s">
        <v>110</v>
      </c>
      <c r="B21" s="215">
        <v>868</v>
      </c>
      <c r="C21" s="216">
        <v>924</v>
      </c>
      <c r="D21" s="216">
        <v>887</v>
      </c>
      <c r="E21" s="216">
        <v>738</v>
      </c>
      <c r="F21" s="216">
        <v>696</v>
      </c>
      <c r="G21" s="216">
        <f t="shared" si="0"/>
        <v>913</v>
      </c>
      <c r="H21" s="217">
        <v>239</v>
      </c>
      <c r="I21" s="218">
        <v>225</v>
      </c>
      <c r="J21" s="218">
        <v>217</v>
      </c>
      <c r="K21" s="219">
        <v>232</v>
      </c>
      <c r="L21" s="220">
        <v>1032</v>
      </c>
      <c r="M21" s="221">
        <v>1201</v>
      </c>
      <c r="N21" s="222">
        <v>220</v>
      </c>
      <c r="O21" s="222">
        <v>269</v>
      </c>
      <c r="P21" s="222">
        <v>293</v>
      </c>
      <c r="Q21" s="222">
        <v>419</v>
      </c>
      <c r="R21" s="222">
        <v>178</v>
      </c>
      <c r="S21" s="222">
        <v>198</v>
      </c>
    </row>
    <row r="22" spans="1:19" s="194" customFormat="1" ht="24" customHeight="1">
      <c r="A22" s="214" t="s">
        <v>111</v>
      </c>
      <c r="B22" s="215">
        <v>661</v>
      </c>
      <c r="C22" s="216">
        <v>698</v>
      </c>
      <c r="D22" s="216">
        <v>531</v>
      </c>
      <c r="E22" s="216">
        <v>760</v>
      </c>
      <c r="F22" s="216">
        <v>765</v>
      </c>
      <c r="G22" s="216">
        <f t="shared" si="0"/>
        <v>917</v>
      </c>
      <c r="H22" s="217">
        <v>237</v>
      </c>
      <c r="I22" s="218">
        <v>211</v>
      </c>
      <c r="J22" s="218">
        <v>195</v>
      </c>
      <c r="K22" s="219">
        <v>274</v>
      </c>
      <c r="L22" s="220">
        <v>1129</v>
      </c>
      <c r="M22" s="221">
        <v>408</v>
      </c>
      <c r="N22" s="222">
        <v>85</v>
      </c>
      <c r="O22" s="222">
        <v>103</v>
      </c>
      <c r="P22" s="222">
        <v>113</v>
      </c>
      <c r="Q22" s="222">
        <v>107</v>
      </c>
      <c r="R22" s="222">
        <v>109</v>
      </c>
      <c r="S22" s="222">
        <v>99</v>
      </c>
    </row>
    <row r="23" spans="1:19" s="194" customFormat="1" ht="24" customHeight="1">
      <c r="A23" s="214" t="s">
        <v>112</v>
      </c>
      <c r="B23" s="215">
        <v>437</v>
      </c>
      <c r="C23" s="216">
        <v>423</v>
      </c>
      <c r="D23" s="216">
        <v>384</v>
      </c>
      <c r="E23" s="216">
        <v>384</v>
      </c>
      <c r="F23" s="216">
        <v>291</v>
      </c>
      <c r="G23" s="216">
        <f t="shared" si="0"/>
        <v>414</v>
      </c>
      <c r="H23" s="217">
        <v>129</v>
      </c>
      <c r="I23" s="218">
        <v>104</v>
      </c>
      <c r="J23" s="218">
        <v>84</v>
      </c>
      <c r="K23" s="219">
        <v>97</v>
      </c>
      <c r="L23" s="220">
        <v>440</v>
      </c>
      <c r="M23" s="221">
        <v>724</v>
      </c>
      <c r="N23" s="222">
        <v>121</v>
      </c>
      <c r="O23" s="222">
        <v>174</v>
      </c>
      <c r="P23" s="222">
        <v>208</v>
      </c>
      <c r="Q23" s="222">
        <v>221</v>
      </c>
      <c r="R23" s="222">
        <v>154</v>
      </c>
      <c r="S23" s="222">
        <v>196</v>
      </c>
    </row>
    <row r="24" spans="1:19" s="194" customFormat="1" ht="24" customHeight="1">
      <c r="A24" s="214" t="s">
        <v>107</v>
      </c>
      <c r="B24" s="215">
        <v>564</v>
      </c>
      <c r="C24" s="216">
        <v>614</v>
      </c>
      <c r="D24" s="216">
        <v>583</v>
      </c>
      <c r="E24" s="216">
        <v>762</v>
      </c>
      <c r="F24" s="216">
        <v>707</v>
      </c>
      <c r="G24" s="216">
        <f t="shared" si="0"/>
        <v>865</v>
      </c>
      <c r="H24" s="217">
        <v>229</v>
      </c>
      <c r="I24" s="218">
        <v>199</v>
      </c>
      <c r="J24" s="218">
        <v>222</v>
      </c>
      <c r="K24" s="219">
        <v>215</v>
      </c>
      <c r="L24" s="220">
        <v>912</v>
      </c>
      <c r="M24" s="221">
        <v>817</v>
      </c>
      <c r="N24" s="222">
        <v>82</v>
      </c>
      <c r="O24" s="222">
        <v>196</v>
      </c>
      <c r="P24" s="222">
        <v>403</v>
      </c>
      <c r="Q24" s="222">
        <v>136</v>
      </c>
      <c r="R24" s="222">
        <v>91</v>
      </c>
      <c r="S24" s="222">
        <v>115</v>
      </c>
    </row>
    <row r="25" spans="1:19" s="194" customFormat="1" ht="24" customHeight="1">
      <c r="A25" s="214" t="s">
        <v>108</v>
      </c>
      <c r="B25" s="215">
        <v>2082</v>
      </c>
      <c r="C25" s="216">
        <v>2000</v>
      </c>
      <c r="D25" s="216">
        <v>2015</v>
      </c>
      <c r="E25" s="216">
        <v>2304</v>
      </c>
      <c r="F25" s="216">
        <v>1438</v>
      </c>
      <c r="G25" s="216">
        <f t="shared" si="0"/>
        <v>1882</v>
      </c>
      <c r="H25" s="217">
        <v>439</v>
      </c>
      <c r="I25" s="218">
        <v>495</v>
      </c>
      <c r="J25" s="218">
        <v>488</v>
      </c>
      <c r="K25" s="219">
        <v>460</v>
      </c>
      <c r="L25" s="220">
        <v>2012</v>
      </c>
      <c r="M25" s="221">
        <v>2821</v>
      </c>
      <c r="N25" s="222">
        <v>594</v>
      </c>
      <c r="O25" s="222">
        <v>604</v>
      </c>
      <c r="P25" s="222">
        <v>752</v>
      </c>
      <c r="Q25" s="222">
        <v>871</v>
      </c>
      <c r="R25" s="222">
        <v>557</v>
      </c>
      <c r="S25" s="222">
        <v>742</v>
      </c>
    </row>
    <row r="26" spans="1:19" s="194" customFormat="1" ht="24" customHeight="1">
      <c r="A26" s="214" t="s">
        <v>114</v>
      </c>
      <c r="B26" s="215">
        <v>582</v>
      </c>
      <c r="C26" s="216">
        <v>545</v>
      </c>
      <c r="D26" s="216">
        <v>515</v>
      </c>
      <c r="E26" s="216">
        <v>622</v>
      </c>
      <c r="F26" s="216">
        <v>476</v>
      </c>
      <c r="G26" s="216">
        <f t="shared" si="0"/>
        <v>550</v>
      </c>
      <c r="H26" s="217">
        <v>133</v>
      </c>
      <c r="I26" s="218">
        <v>150</v>
      </c>
      <c r="J26" s="218">
        <v>122</v>
      </c>
      <c r="K26" s="219">
        <v>145</v>
      </c>
      <c r="L26" s="220">
        <v>644</v>
      </c>
      <c r="M26" s="221">
        <v>535</v>
      </c>
      <c r="N26" s="222">
        <v>124</v>
      </c>
      <c r="O26" s="222">
        <v>111</v>
      </c>
      <c r="P26" s="222">
        <v>110</v>
      </c>
      <c r="Q26" s="222">
        <v>190</v>
      </c>
      <c r="R26" s="222">
        <v>166</v>
      </c>
      <c r="S26" s="222">
        <v>164</v>
      </c>
    </row>
    <row r="27" spans="1:19" s="194" customFormat="1" ht="24" customHeight="1">
      <c r="A27" s="214" t="s">
        <v>115</v>
      </c>
      <c r="B27" s="215">
        <v>3800</v>
      </c>
      <c r="C27" s="216">
        <v>3422</v>
      </c>
      <c r="D27" s="216">
        <v>3748</v>
      </c>
      <c r="E27" s="216">
        <v>4498</v>
      </c>
      <c r="F27" s="216">
        <v>4414</v>
      </c>
      <c r="G27" s="216">
        <f t="shared" si="0"/>
        <v>4486</v>
      </c>
      <c r="H27" s="217">
        <v>1161</v>
      </c>
      <c r="I27" s="218">
        <v>1126</v>
      </c>
      <c r="J27" s="218">
        <v>1006</v>
      </c>
      <c r="K27" s="219">
        <v>1193</v>
      </c>
      <c r="L27" s="220">
        <v>4916</v>
      </c>
      <c r="M27" s="221">
        <v>3131</v>
      </c>
      <c r="N27" s="222">
        <v>744</v>
      </c>
      <c r="O27" s="222">
        <v>703</v>
      </c>
      <c r="P27" s="222">
        <v>791</v>
      </c>
      <c r="Q27" s="222">
        <v>893</v>
      </c>
      <c r="R27" s="222">
        <v>920</v>
      </c>
      <c r="S27" s="222">
        <v>803</v>
      </c>
    </row>
    <row r="28" spans="1:19" s="194" customFormat="1" ht="24" customHeight="1">
      <c r="A28" s="214" t="s">
        <v>116</v>
      </c>
      <c r="B28" s="215">
        <v>7436</v>
      </c>
      <c r="C28" s="216">
        <v>7142</v>
      </c>
      <c r="D28" s="216">
        <v>7576</v>
      </c>
      <c r="E28" s="216">
        <v>13576</v>
      </c>
      <c r="F28" s="216">
        <v>9158</v>
      </c>
      <c r="G28" s="216">
        <f t="shared" si="0"/>
        <v>11124</v>
      </c>
      <c r="H28" s="217">
        <v>2531</v>
      </c>
      <c r="I28" s="218">
        <v>3248</v>
      </c>
      <c r="J28" s="218">
        <v>2665</v>
      </c>
      <c r="K28" s="219">
        <v>2680</v>
      </c>
      <c r="L28" s="220">
        <v>11358</v>
      </c>
      <c r="M28" s="221">
        <v>7036</v>
      </c>
      <c r="N28" s="222">
        <v>1835</v>
      </c>
      <c r="O28" s="222">
        <v>1508</v>
      </c>
      <c r="P28" s="222">
        <v>1810</v>
      </c>
      <c r="Q28" s="222">
        <v>1883</v>
      </c>
      <c r="R28" s="222">
        <v>1866</v>
      </c>
      <c r="S28" s="222">
        <v>1765</v>
      </c>
    </row>
    <row r="29" spans="1:19" s="194" customFormat="1" ht="24" customHeight="1">
      <c r="A29" s="214" t="s">
        <v>117</v>
      </c>
      <c r="B29" s="215">
        <v>965</v>
      </c>
      <c r="C29" s="216">
        <v>910</v>
      </c>
      <c r="D29" s="216">
        <v>809</v>
      </c>
      <c r="E29" s="216">
        <v>966</v>
      </c>
      <c r="F29" s="216">
        <v>757</v>
      </c>
      <c r="G29" s="216">
        <f t="shared" si="0"/>
        <v>855</v>
      </c>
      <c r="H29" s="217">
        <v>207</v>
      </c>
      <c r="I29" s="218">
        <v>240</v>
      </c>
      <c r="J29" s="218">
        <v>224</v>
      </c>
      <c r="K29" s="219">
        <v>184</v>
      </c>
      <c r="L29" s="220">
        <v>866</v>
      </c>
      <c r="M29" s="221">
        <v>852</v>
      </c>
      <c r="N29" s="222">
        <v>211</v>
      </c>
      <c r="O29" s="222">
        <v>224</v>
      </c>
      <c r="P29" s="222">
        <v>218</v>
      </c>
      <c r="Q29" s="222">
        <v>199</v>
      </c>
      <c r="R29" s="222">
        <v>179</v>
      </c>
      <c r="S29" s="222">
        <v>227</v>
      </c>
    </row>
    <row r="30" spans="1:19" s="194" customFormat="1" ht="24" customHeight="1">
      <c r="A30" s="214" t="s">
        <v>119</v>
      </c>
      <c r="B30" s="215">
        <v>1199</v>
      </c>
      <c r="C30" s="216">
        <v>1016</v>
      </c>
      <c r="D30" s="216">
        <v>1138</v>
      </c>
      <c r="E30" s="216">
        <v>1195</v>
      </c>
      <c r="F30" s="216">
        <v>1102</v>
      </c>
      <c r="G30" s="216">
        <f t="shared" si="0"/>
        <v>1237</v>
      </c>
      <c r="H30" s="217">
        <v>351</v>
      </c>
      <c r="I30" s="218">
        <v>312</v>
      </c>
      <c r="J30" s="218">
        <v>249</v>
      </c>
      <c r="K30" s="219">
        <v>325</v>
      </c>
      <c r="L30" s="220">
        <v>1339</v>
      </c>
      <c r="M30" s="221">
        <v>2256</v>
      </c>
      <c r="N30" s="222">
        <v>955</v>
      </c>
      <c r="O30" s="222">
        <v>373</v>
      </c>
      <c r="P30" s="222">
        <v>429</v>
      </c>
      <c r="Q30" s="222">
        <v>499</v>
      </c>
      <c r="R30" s="222">
        <v>429</v>
      </c>
      <c r="S30" s="222">
        <v>400</v>
      </c>
    </row>
    <row r="31" spans="1:19" s="194" customFormat="1" ht="24" customHeight="1">
      <c r="A31" s="214" t="s">
        <v>120</v>
      </c>
      <c r="B31" s="215">
        <v>2405</v>
      </c>
      <c r="C31" s="216">
        <v>2128</v>
      </c>
      <c r="D31" s="216">
        <v>2209</v>
      </c>
      <c r="E31" s="216">
        <v>3455</v>
      </c>
      <c r="F31" s="216">
        <v>2068</v>
      </c>
      <c r="G31" s="216">
        <f t="shared" si="0"/>
        <v>2336</v>
      </c>
      <c r="H31" s="217">
        <v>659</v>
      </c>
      <c r="I31" s="218">
        <v>622</v>
      </c>
      <c r="J31" s="218">
        <v>518</v>
      </c>
      <c r="K31" s="219">
        <v>537</v>
      </c>
      <c r="L31" s="220">
        <v>2680</v>
      </c>
      <c r="M31" s="221">
        <v>889</v>
      </c>
      <c r="N31" s="222">
        <v>159</v>
      </c>
      <c r="O31" s="222">
        <v>223</v>
      </c>
      <c r="P31" s="222">
        <v>249</v>
      </c>
      <c r="Q31" s="222">
        <v>258</v>
      </c>
      <c r="R31" s="222">
        <v>214</v>
      </c>
      <c r="S31" s="222">
        <v>180</v>
      </c>
    </row>
    <row r="32" spans="1:19" s="194" customFormat="1" ht="24" customHeight="1">
      <c r="A32" s="214" t="s">
        <v>121</v>
      </c>
      <c r="B32" s="215">
        <v>12922</v>
      </c>
      <c r="C32" s="216">
        <v>12558</v>
      </c>
      <c r="D32" s="216">
        <v>12223</v>
      </c>
      <c r="E32" s="216">
        <v>16200</v>
      </c>
      <c r="F32" s="216">
        <v>13436</v>
      </c>
      <c r="G32" s="216">
        <f t="shared" si="0"/>
        <v>15718</v>
      </c>
      <c r="H32" s="217">
        <v>3859</v>
      </c>
      <c r="I32" s="218">
        <v>4299</v>
      </c>
      <c r="J32" s="218">
        <v>3539</v>
      </c>
      <c r="K32" s="219">
        <v>4021</v>
      </c>
      <c r="L32" s="220">
        <v>16436</v>
      </c>
      <c r="M32" s="221">
        <v>15685</v>
      </c>
      <c r="N32" s="222">
        <v>3372</v>
      </c>
      <c r="O32" s="222">
        <v>3281</v>
      </c>
      <c r="P32" s="222">
        <v>4512</v>
      </c>
      <c r="Q32" s="222">
        <v>4520</v>
      </c>
      <c r="R32" s="222">
        <v>3598</v>
      </c>
      <c r="S32" s="222">
        <v>3552</v>
      </c>
    </row>
    <row r="33" spans="1:19" s="194" customFormat="1" ht="24" customHeight="1">
      <c r="A33" s="214" t="s">
        <v>122</v>
      </c>
      <c r="B33" s="215">
        <v>4103</v>
      </c>
      <c r="C33" s="216">
        <v>3806</v>
      </c>
      <c r="D33" s="216">
        <v>4328</v>
      </c>
      <c r="E33" s="216">
        <v>7480</v>
      </c>
      <c r="F33" s="216">
        <v>4284</v>
      </c>
      <c r="G33" s="216">
        <f t="shared" si="0"/>
        <v>4287</v>
      </c>
      <c r="H33" s="217">
        <v>1304</v>
      </c>
      <c r="I33" s="218">
        <v>1071</v>
      </c>
      <c r="J33" s="218">
        <v>869</v>
      </c>
      <c r="K33" s="219">
        <v>1043</v>
      </c>
      <c r="L33" s="220">
        <v>4999</v>
      </c>
      <c r="M33" s="221">
        <v>2960</v>
      </c>
      <c r="N33" s="222">
        <v>1780</v>
      </c>
      <c r="O33" s="222">
        <v>385</v>
      </c>
      <c r="P33" s="222">
        <v>456</v>
      </c>
      <c r="Q33" s="222">
        <v>339</v>
      </c>
      <c r="R33" s="222">
        <v>345</v>
      </c>
      <c r="S33" s="222">
        <v>357</v>
      </c>
    </row>
    <row r="34" spans="1:19" s="194" customFormat="1" ht="24" customHeight="1">
      <c r="A34" s="214" t="s">
        <v>123</v>
      </c>
      <c r="B34" s="215">
        <v>345</v>
      </c>
      <c r="C34" s="216">
        <v>312</v>
      </c>
      <c r="D34" s="216">
        <v>327</v>
      </c>
      <c r="E34" s="216">
        <v>353</v>
      </c>
      <c r="F34" s="216">
        <v>226</v>
      </c>
      <c r="G34" s="216">
        <f t="shared" si="0"/>
        <v>260</v>
      </c>
      <c r="H34" s="217">
        <v>75</v>
      </c>
      <c r="I34" s="218">
        <v>79</v>
      </c>
      <c r="J34" s="218">
        <v>44</v>
      </c>
      <c r="K34" s="219">
        <v>62</v>
      </c>
      <c r="L34" s="220">
        <v>272</v>
      </c>
      <c r="M34" s="221">
        <v>269</v>
      </c>
      <c r="N34" s="222">
        <v>61</v>
      </c>
      <c r="O34" s="222">
        <v>75</v>
      </c>
      <c r="P34" s="222">
        <v>59</v>
      </c>
      <c r="Q34" s="222">
        <v>74</v>
      </c>
      <c r="R34" s="222">
        <v>86</v>
      </c>
      <c r="S34" s="222">
        <v>88</v>
      </c>
    </row>
    <row r="35" spans="1:19" s="194" customFormat="1" ht="24" customHeight="1">
      <c r="A35" s="214" t="s">
        <v>124</v>
      </c>
      <c r="B35" s="215">
        <v>575</v>
      </c>
      <c r="C35" s="216">
        <v>392</v>
      </c>
      <c r="D35" s="216">
        <v>363</v>
      </c>
      <c r="E35" s="216">
        <v>418</v>
      </c>
      <c r="F35" s="216">
        <v>458</v>
      </c>
      <c r="G35" s="216">
        <f t="shared" si="0"/>
        <v>624</v>
      </c>
      <c r="H35" s="217">
        <v>140</v>
      </c>
      <c r="I35" s="218">
        <v>142</v>
      </c>
      <c r="J35" s="218">
        <v>182</v>
      </c>
      <c r="K35" s="219">
        <v>160</v>
      </c>
      <c r="L35" s="220">
        <v>543</v>
      </c>
      <c r="M35" s="221">
        <v>498</v>
      </c>
      <c r="N35" s="222">
        <v>144</v>
      </c>
      <c r="O35" s="222">
        <v>150</v>
      </c>
      <c r="P35" s="222">
        <v>113</v>
      </c>
      <c r="Q35" s="222">
        <v>91</v>
      </c>
      <c r="R35" s="222">
        <v>115</v>
      </c>
      <c r="S35" s="222">
        <v>98</v>
      </c>
    </row>
    <row r="36" spans="1:19" s="194" customFormat="1" ht="24" customHeight="1">
      <c r="A36" s="214" t="s">
        <v>126</v>
      </c>
      <c r="B36" s="215">
        <v>265</v>
      </c>
      <c r="C36" s="216">
        <v>219</v>
      </c>
      <c r="D36" s="216">
        <v>128</v>
      </c>
      <c r="E36" s="216">
        <v>77</v>
      </c>
      <c r="F36" s="216">
        <v>157</v>
      </c>
      <c r="G36" s="216">
        <f t="shared" si="0"/>
        <v>285</v>
      </c>
      <c r="H36" s="217">
        <v>60</v>
      </c>
      <c r="I36" s="218">
        <v>40</v>
      </c>
      <c r="J36" s="218">
        <v>107</v>
      </c>
      <c r="K36" s="219">
        <v>78</v>
      </c>
      <c r="L36" s="220">
        <v>500</v>
      </c>
      <c r="M36" s="221">
        <v>138</v>
      </c>
      <c r="N36" s="222">
        <v>43</v>
      </c>
      <c r="O36" s="222">
        <v>53</v>
      </c>
      <c r="P36" s="222">
        <v>26</v>
      </c>
      <c r="Q36" s="222">
        <v>16</v>
      </c>
      <c r="R36" s="222">
        <v>12</v>
      </c>
      <c r="S36" s="222">
        <v>40</v>
      </c>
    </row>
    <row r="37" spans="1:19" s="194" customFormat="1" ht="24" customHeight="1">
      <c r="A37" s="214" t="s">
        <v>127</v>
      </c>
      <c r="B37" s="215">
        <v>241</v>
      </c>
      <c r="C37" s="216">
        <v>171</v>
      </c>
      <c r="D37" s="216">
        <v>236</v>
      </c>
      <c r="E37" s="216">
        <v>296</v>
      </c>
      <c r="F37" s="216">
        <v>310</v>
      </c>
      <c r="G37" s="216">
        <f t="shared" si="0"/>
        <v>293</v>
      </c>
      <c r="H37" s="217">
        <v>94</v>
      </c>
      <c r="I37" s="218">
        <v>75</v>
      </c>
      <c r="J37" s="218">
        <v>74</v>
      </c>
      <c r="K37" s="219">
        <v>50</v>
      </c>
      <c r="L37" s="220">
        <v>326</v>
      </c>
      <c r="M37" s="221">
        <v>343</v>
      </c>
      <c r="N37" s="222">
        <v>78</v>
      </c>
      <c r="O37" s="222">
        <v>98</v>
      </c>
      <c r="P37" s="222">
        <v>88</v>
      </c>
      <c r="Q37" s="222">
        <v>79</v>
      </c>
      <c r="R37" s="222">
        <v>76</v>
      </c>
      <c r="S37" s="222">
        <v>71</v>
      </c>
    </row>
    <row r="38" spans="1:19" s="194" customFormat="1" ht="24" customHeight="1">
      <c r="A38" s="214" t="s">
        <v>128</v>
      </c>
      <c r="B38" s="215">
        <v>1710</v>
      </c>
      <c r="C38" s="216">
        <v>1446</v>
      </c>
      <c r="D38" s="216">
        <v>1310</v>
      </c>
      <c r="E38" s="216">
        <v>1943</v>
      </c>
      <c r="F38" s="216">
        <v>2114</v>
      </c>
      <c r="G38" s="216">
        <f t="shared" si="0"/>
        <v>2833</v>
      </c>
      <c r="H38" s="217">
        <v>643</v>
      </c>
      <c r="I38" s="218">
        <v>727</v>
      </c>
      <c r="J38" s="218">
        <v>763</v>
      </c>
      <c r="K38" s="219">
        <v>700</v>
      </c>
      <c r="L38" s="220">
        <v>2684</v>
      </c>
      <c r="M38" s="221">
        <v>1630</v>
      </c>
      <c r="N38" s="222">
        <v>488</v>
      </c>
      <c r="O38" s="222">
        <v>352</v>
      </c>
      <c r="P38" s="222">
        <v>373</v>
      </c>
      <c r="Q38" s="222">
        <v>417</v>
      </c>
      <c r="R38" s="222">
        <v>366</v>
      </c>
      <c r="S38" s="222">
        <v>428</v>
      </c>
    </row>
    <row r="39" spans="1:19" s="194" customFormat="1" ht="24" customHeight="1">
      <c r="A39" s="214" t="s">
        <v>129</v>
      </c>
      <c r="B39" s="215">
        <v>2762</v>
      </c>
      <c r="C39" s="216">
        <v>2462</v>
      </c>
      <c r="D39" s="216">
        <v>2749</v>
      </c>
      <c r="E39" s="216">
        <v>2683</v>
      </c>
      <c r="F39" s="216">
        <v>1967</v>
      </c>
      <c r="G39" s="216">
        <f t="shared" si="0"/>
        <v>2568</v>
      </c>
      <c r="H39" s="217">
        <v>689</v>
      </c>
      <c r="I39" s="218">
        <v>668</v>
      </c>
      <c r="J39" s="218">
        <v>569</v>
      </c>
      <c r="K39" s="219">
        <v>642</v>
      </c>
      <c r="L39" s="220">
        <v>3119</v>
      </c>
      <c r="M39" s="221">
        <v>3522</v>
      </c>
      <c r="N39" s="222">
        <v>730</v>
      </c>
      <c r="O39" s="222">
        <v>727</v>
      </c>
      <c r="P39" s="222">
        <v>986</v>
      </c>
      <c r="Q39" s="222">
        <v>1079</v>
      </c>
      <c r="R39" s="222">
        <v>784</v>
      </c>
      <c r="S39" s="222">
        <v>886</v>
      </c>
    </row>
    <row r="40" spans="1:19" s="194" customFormat="1" ht="24" customHeight="1">
      <c r="A40" s="214" t="s">
        <v>130</v>
      </c>
      <c r="B40" s="215">
        <v>989</v>
      </c>
      <c r="C40" s="216">
        <v>801</v>
      </c>
      <c r="D40" s="216">
        <v>823</v>
      </c>
      <c r="E40" s="216">
        <v>676</v>
      </c>
      <c r="F40" s="216">
        <v>864</v>
      </c>
      <c r="G40" s="216">
        <f t="shared" si="0"/>
        <v>1094</v>
      </c>
      <c r="H40" s="217">
        <v>204</v>
      </c>
      <c r="I40" s="218">
        <v>356</v>
      </c>
      <c r="J40" s="218">
        <v>252</v>
      </c>
      <c r="K40" s="219">
        <v>282</v>
      </c>
      <c r="L40" s="220">
        <v>1347</v>
      </c>
      <c r="M40" s="221">
        <v>925</v>
      </c>
      <c r="N40" s="222">
        <v>273</v>
      </c>
      <c r="O40" s="222">
        <v>161</v>
      </c>
      <c r="P40" s="222">
        <v>210</v>
      </c>
      <c r="Q40" s="222">
        <v>281</v>
      </c>
      <c r="R40" s="222">
        <v>186</v>
      </c>
      <c r="S40" s="222">
        <v>172</v>
      </c>
    </row>
    <row r="41" spans="1:19" s="194" customFormat="1" ht="24" customHeight="1">
      <c r="A41" s="214" t="s">
        <v>131</v>
      </c>
      <c r="B41" s="215">
        <v>603</v>
      </c>
      <c r="C41" s="216">
        <v>427</v>
      </c>
      <c r="D41" s="216">
        <v>523</v>
      </c>
      <c r="E41" s="216">
        <v>501</v>
      </c>
      <c r="F41" s="216">
        <v>384</v>
      </c>
      <c r="G41" s="216">
        <f t="shared" si="0"/>
        <v>580</v>
      </c>
      <c r="H41" s="217">
        <v>197</v>
      </c>
      <c r="I41" s="218">
        <v>151</v>
      </c>
      <c r="J41" s="218">
        <v>127</v>
      </c>
      <c r="K41" s="219">
        <v>105</v>
      </c>
      <c r="L41" s="220">
        <v>596</v>
      </c>
      <c r="M41" s="221">
        <v>886</v>
      </c>
      <c r="N41" s="222">
        <v>205</v>
      </c>
      <c r="O41" s="222">
        <v>162</v>
      </c>
      <c r="P41" s="222">
        <v>231</v>
      </c>
      <c r="Q41" s="222">
        <v>288</v>
      </c>
      <c r="R41" s="222">
        <v>223</v>
      </c>
      <c r="S41" s="222">
        <v>218</v>
      </c>
    </row>
    <row r="42" spans="1:19" s="194" customFormat="1" ht="24" customHeight="1">
      <c r="A42" s="214" t="s">
        <v>132</v>
      </c>
      <c r="B42" s="215">
        <v>886</v>
      </c>
      <c r="C42" s="216">
        <v>949</v>
      </c>
      <c r="D42" s="216">
        <v>779</v>
      </c>
      <c r="E42" s="216">
        <v>591</v>
      </c>
      <c r="F42" s="216">
        <v>527</v>
      </c>
      <c r="G42" s="216">
        <f t="shared" si="0"/>
        <v>597</v>
      </c>
      <c r="H42" s="217">
        <v>136</v>
      </c>
      <c r="I42" s="218">
        <v>186</v>
      </c>
      <c r="J42" s="218">
        <v>113</v>
      </c>
      <c r="K42" s="219">
        <v>162</v>
      </c>
      <c r="L42" s="220">
        <v>731</v>
      </c>
      <c r="M42" s="221">
        <v>937</v>
      </c>
      <c r="N42" s="222">
        <v>193</v>
      </c>
      <c r="O42" s="222">
        <v>230</v>
      </c>
      <c r="P42" s="222">
        <v>287</v>
      </c>
      <c r="Q42" s="222">
        <v>227</v>
      </c>
      <c r="R42" s="222">
        <v>257</v>
      </c>
      <c r="S42" s="222">
        <v>249</v>
      </c>
    </row>
    <row r="43" spans="1:19" s="194" customFormat="1" ht="24" customHeight="1">
      <c r="A43" s="214" t="s">
        <v>133</v>
      </c>
      <c r="B43" s="215">
        <v>991</v>
      </c>
      <c r="C43" s="216">
        <v>950</v>
      </c>
      <c r="D43" s="216">
        <v>1209</v>
      </c>
      <c r="E43" s="216">
        <v>813</v>
      </c>
      <c r="F43" s="216">
        <v>853</v>
      </c>
      <c r="G43" s="216">
        <f t="shared" si="0"/>
        <v>1030</v>
      </c>
      <c r="H43" s="217">
        <v>266</v>
      </c>
      <c r="I43" s="218">
        <v>277</v>
      </c>
      <c r="J43" s="218">
        <v>216</v>
      </c>
      <c r="K43" s="219">
        <v>271</v>
      </c>
      <c r="L43" s="220">
        <v>1234</v>
      </c>
      <c r="M43" s="221">
        <v>1599</v>
      </c>
      <c r="N43" s="222">
        <v>306</v>
      </c>
      <c r="O43" s="222">
        <v>327</v>
      </c>
      <c r="P43" s="222">
        <v>417</v>
      </c>
      <c r="Q43" s="222">
        <v>549</v>
      </c>
      <c r="R43" s="222">
        <v>361</v>
      </c>
      <c r="S43" s="222">
        <v>536</v>
      </c>
    </row>
    <row r="44" spans="1:19" s="194" customFormat="1" ht="24" customHeight="1">
      <c r="A44" s="214" t="s">
        <v>134</v>
      </c>
      <c r="B44" s="215">
        <v>465</v>
      </c>
      <c r="C44" s="216">
        <v>267</v>
      </c>
      <c r="D44" s="216">
        <v>383</v>
      </c>
      <c r="E44" s="216">
        <v>382</v>
      </c>
      <c r="F44" s="216">
        <v>391</v>
      </c>
      <c r="G44" s="216">
        <f t="shared" si="0"/>
        <v>502</v>
      </c>
      <c r="H44" s="217">
        <v>99</v>
      </c>
      <c r="I44" s="218">
        <v>119</v>
      </c>
      <c r="J44" s="218">
        <v>132</v>
      </c>
      <c r="K44" s="219">
        <v>152</v>
      </c>
      <c r="L44" s="220">
        <v>540</v>
      </c>
      <c r="M44" s="221">
        <v>208</v>
      </c>
      <c r="N44" s="222">
        <v>112</v>
      </c>
      <c r="O44" s="222">
        <v>24</v>
      </c>
      <c r="P44" s="222">
        <v>37</v>
      </c>
      <c r="Q44" s="222">
        <v>35</v>
      </c>
      <c r="R44" s="222">
        <v>43</v>
      </c>
      <c r="S44" s="222">
        <v>32</v>
      </c>
    </row>
    <row r="45" spans="1:19" s="194" customFormat="1" ht="24" customHeight="1">
      <c r="A45" s="214" t="s">
        <v>136</v>
      </c>
      <c r="B45" s="215">
        <v>6096</v>
      </c>
      <c r="C45" s="216">
        <v>5916</v>
      </c>
      <c r="D45" s="216">
        <v>5942</v>
      </c>
      <c r="E45" s="216">
        <v>7024</v>
      </c>
      <c r="F45" s="216">
        <v>7876</v>
      </c>
      <c r="G45" s="216">
        <f t="shared" si="0"/>
        <v>9436</v>
      </c>
      <c r="H45" s="217">
        <v>2350</v>
      </c>
      <c r="I45" s="218">
        <v>2557</v>
      </c>
      <c r="J45" s="218">
        <v>2149</v>
      </c>
      <c r="K45" s="219">
        <v>2380</v>
      </c>
      <c r="L45" s="220">
        <v>9848</v>
      </c>
      <c r="M45" s="221">
        <v>9777</v>
      </c>
      <c r="N45" s="222">
        <v>2515</v>
      </c>
      <c r="O45" s="222">
        <v>2378</v>
      </c>
      <c r="P45" s="222">
        <v>2125</v>
      </c>
      <c r="Q45" s="222">
        <v>2759</v>
      </c>
      <c r="R45" s="222">
        <v>2304</v>
      </c>
      <c r="S45" s="222">
        <v>2053</v>
      </c>
    </row>
    <row r="46" spans="1:19" s="194" customFormat="1" ht="24" customHeight="1">
      <c r="A46" s="214" t="s">
        <v>137</v>
      </c>
      <c r="B46" s="215">
        <v>1160</v>
      </c>
      <c r="C46" s="216">
        <v>1075</v>
      </c>
      <c r="D46" s="216">
        <v>1083</v>
      </c>
      <c r="E46" s="216">
        <v>1106</v>
      </c>
      <c r="F46" s="216">
        <v>1007</v>
      </c>
      <c r="G46" s="216">
        <f t="shared" si="0"/>
        <v>1196</v>
      </c>
      <c r="H46" s="217">
        <v>210</v>
      </c>
      <c r="I46" s="218">
        <v>316</v>
      </c>
      <c r="J46" s="218">
        <v>266</v>
      </c>
      <c r="K46" s="219">
        <v>404</v>
      </c>
      <c r="L46" s="220">
        <v>1670</v>
      </c>
      <c r="M46" s="221">
        <v>1263</v>
      </c>
      <c r="N46" s="222">
        <v>303</v>
      </c>
      <c r="O46" s="222">
        <v>319</v>
      </c>
      <c r="P46" s="222">
        <v>331</v>
      </c>
      <c r="Q46" s="222">
        <v>310</v>
      </c>
      <c r="R46" s="222">
        <v>303</v>
      </c>
      <c r="S46" s="222">
        <v>332</v>
      </c>
    </row>
    <row r="47" spans="1:19" s="194" customFormat="1" ht="24" customHeight="1">
      <c r="A47" s="214" t="s">
        <v>138</v>
      </c>
      <c r="B47" s="215">
        <v>726</v>
      </c>
      <c r="C47" s="216">
        <v>652</v>
      </c>
      <c r="D47" s="216">
        <v>722</v>
      </c>
      <c r="E47" s="216">
        <v>653</v>
      </c>
      <c r="F47" s="216">
        <v>773</v>
      </c>
      <c r="G47" s="216">
        <f t="shared" si="0"/>
        <v>913</v>
      </c>
      <c r="H47" s="217">
        <v>208</v>
      </c>
      <c r="I47" s="218">
        <v>213</v>
      </c>
      <c r="J47" s="218">
        <v>222</v>
      </c>
      <c r="K47" s="219">
        <v>270</v>
      </c>
      <c r="L47" s="220">
        <v>895</v>
      </c>
      <c r="M47" s="221">
        <v>985</v>
      </c>
      <c r="N47" s="222">
        <v>267</v>
      </c>
      <c r="O47" s="222">
        <v>232</v>
      </c>
      <c r="P47" s="222">
        <v>264</v>
      </c>
      <c r="Q47" s="222">
        <v>222</v>
      </c>
      <c r="R47" s="222">
        <v>243</v>
      </c>
      <c r="S47" s="222">
        <v>193</v>
      </c>
    </row>
    <row r="48" spans="1:19" s="194" customFormat="1" ht="24" customHeight="1">
      <c r="A48" s="214" t="s">
        <v>139</v>
      </c>
      <c r="B48" s="215">
        <v>777</v>
      </c>
      <c r="C48" s="216">
        <v>766</v>
      </c>
      <c r="D48" s="216">
        <v>953</v>
      </c>
      <c r="E48" s="216">
        <v>1057</v>
      </c>
      <c r="F48" s="216">
        <v>893</v>
      </c>
      <c r="G48" s="216">
        <f t="shared" si="0"/>
        <v>1121</v>
      </c>
      <c r="H48" s="217">
        <v>253</v>
      </c>
      <c r="I48" s="218">
        <v>261</v>
      </c>
      <c r="J48" s="218">
        <v>328</v>
      </c>
      <c r="K48" s="219">
        <v>279</v>
      </c>
      <c r="L48" s="220">
        <v>1481</v>
      </c>
      <c r="M48" s="221">
        <v>1482</v>
      </c>
      <c r="N48" s="222">
        <v>125</v>
      </c>
      <c r="O48" s="222">
        <v>411</v>
      </c>
      <c r="P48" s="222">
        <v>454</v>
      </c>
      <c r="Q48" s="222">
        <v>492</v>
      </c>
      <c r="R48" s="222">
        <v>408</v>
      </c>
      <c r="S48" s="222">
        <v>442</v>
      </c>
    </row>
    <row r="49" spans="1:19" s="194" customFormat="1" ht="24" customHeight="1">
      <c r="A49" s="214" t="s">
        <v>140</v>
      </c>
      <c r="B49" s="215">
        <v>1169</v>
      </c>
      <c r="C49" s="216">
        <v>973</v>
      </c>
      <c r="D49" s="216">
        <v>1237</v>
      </c>
      <c r="E49" s="216">
        <v>1306</v>
      </c>
      <c r="F49" s="216">
        <v>1093</v>
      </c>
      <c r="G49" s="216">
        <f t="shared" si="0"/>
        <v>1202</v>
      </c>
      <c r="H49" s="217">
        <v>311</v>
      </c>
      <c r="I49" s="218">
        <v>369</v>
      </c>
      <c r="J49" s="218">
        <v>279</v>
      </c>
      <c r="K49" s="219">
        <v>243</v>
      </c>
      <c r="L49" s="220">
        <v>1015</v>
      </c>
      <c r="M49" s="221">
        <v>1314</v>
      </c>
      <c r="N49" s="222">
        <v>267</v>
      </c>
      <c r="O49" s="222">
        <v>273</v>
      </c>
      <c r="P49" s="222">
        <v>338</v>
      </c>
      <c r="Q49" s="222">
        <v>436</v>
      </c>
      <c r="R49" s="222">
        <v>375</v>
      </c>
      <c r="S49" s="222">
        <v>324</v>
      </c>
    </row>
    <row r="50" spans="1:19" s="194" customFormat="1" ht="24" customHeight="1">
      <c r="A50" s="214" t="s">
        <v>141</v>
      </c>
      <c r="B50" s="215">
        <v>1402</v>
      </c>
      <c r="C50" s="216">
        <v>1210</v>
      </c>
      <c r="D50" s="216">
        <v>1319</v>
      </c>
      <c r="E50" s="216">
        <v>1139</v>
      </c>
      <c r="F50" s="216">
        <v>1114</v>
      </c>
      <c r="G50" s="216">
        <f t="shared" si="0"/>
        <v>1333</v>
      </c>
      <c r="H50" s="217">
        <v>405</v>
      </c>
      <c r="I50" s="218">
        <v>333</v>
      </c>
      <c r="J50" s="218">
        <v>277</v>
      </c>
      <c r="K50" s="223">
        <v>318</v>
      </c>
      <c r="L50" s="224">
        <v>1502</v>
      </c>
      <c r="M50" s="221">
        <v>1602</v>
      </c>
      <c r="N50" s="222">
        <v>467</v>
      </c>
      <c r="O50" s="222">
        <v>429</v>
      </c>
      <c r="P50" s="222">
        <v>366</v>
      </c>
      <c r="Q50" s="222">
        <v>340</v>
      </c>
      <c r="R50" s="222">
        <v>346</v>
      </c>
      <c r="S50" s="222">
        <v>349</v>
      </c>
    </row>
    <row r="51" spans="1:19" s="194" customFormat="1" ht="24" customHeight="1">
      <c r="A51" s="214" t="s">
        <v>142</v>
      </c>
      <c r="B51" s="215">
        <v>613</v>
      </c>
      <c r="C51" s="216">
        <v>470</v>
      </c>
      <c r="D51" s="216">
        <v>547</v>
      </c>
      <c r="E51" s="216">
        <v>452</v>
      </c>
      <c r="F51" s="216">
        <v>386</v>
      </c>
      <c r="G51" s="216">
        <f t="shared" si="0"/>
        <v>468</v>
      </c>
      <c r="H51" s="217">
        <v>116</v>
      </c>
      <c r="I51" s="218">
        <v>124</v>
      </c>
      <c r="J51" s="218">
        <v>107</v>
      </c>
      <c r="K51" s="219">
        <v>121</v>
      </c>
      <c r="L51" s="220">
        <v>581</v>
      </c>
      <c r="M51" s="221">
        <v>833</v>
      </c>
      <c r="N51" s="222">
        <v>178</v>
      </c>
      <c r="O51" s="222">
        <v>176</v>
      </c>
      <c r="P51" s="222">
        <v>188</v>
      </c>
      <c r="Q51" s="222">
        <v>291</v>
      </c>
      <c r="R51" s="222">
        <v>231</v>
      </c>
      <c r="S51" s="222">
        <v>268</v>
      </c>
    </row>
    <row r="52" spans="1:19" s="194" customFormat="1" ht="24" customHeight="1" thickBot="1">
      <c r="A52" s="225" t="s">
        <v>143</v>
      </c>
      <c r="B52" s="226">
        <v>1970</v>
      </c>
      <c r="C52" s="227">
        <v>1644</v>
      </c>
      <c r="D52" s="227">
        <v>1737</v>
      </c>
      <c r="E52" s="228">
        <v>2254</v>
      </c>
      <c r="F52" s="228">
        <v>1923</v>
      </c>
      <c r="G52" s="228">
        <f t="shared" si="0"/>
        <v>1727</v>
      </c>
      <c r="H52" s="217">
        <v>436</v>
      </c>
      <c r="I52" s="218">
        <v>416</v>
      </c>
      <c r="J52" s="229">
        <v>404</v>
      </c>
      <c r="K52" s="230">
        <v>471</v>
      </c>
      <c r="L52" s="231">
        <v>1689</v>
      </c>
      <c r="M52" s="232">
        <v>1101</v>
      </c>
      <c r="N52" s="233">
        <v>201</v>
      </c>
      <c r="O52" s="233">
        <v>186</v>
      </c>
      <c r="P52" s="233">
        <v>338</v>
      </c>
      <c r="Q52" s="233">
        <v>376</v>
      </c>
      <c r="R52" s="233">
        <v>274</v>
      </c>
      <c r="S52" s="233">
        <v>200</v>
      </c>
    </row>
    <row r="53" spans="1:19" s="194" customFormat="1" ht="24" customHeight="1" thickTop="1">
      <c r="A53" s="234" t="s">
        <v>38</v>
      </c>
      <c r="B53" s="443">
        <v>111046</v>
      </c>
      <c r="C53" s="441">
        <v>103206</v>
      </c>
      <c r="D53" s="441">
        <v>107266</v>
      </c>
      <c r="E53" s="441">
        <v>141269</v>
      </c>
      <c r="F53" s="441">
        <v>108911</v>
      </c>
      <c r="G53" s="441">
        <v>130153</v>
      </c>
      <c r="H53" s="235">
        <v>32517</v>
      </c>
      <c r="I53" s="236">
        <v>34365</v>
      </c>
      <c r="J53" s="236">
        <v>30743</v>
      </c>
      <c r="K53" s="237">
        <v>32528</v>
      </c>
      <c r="L53" s="441">
        <v>146585</v>
      </c>
      <c r="M53" s="452">
        <f aca="true" t="shared" si="1" ref="M53:S53">SUM(M6:M52)</f>
        <v>161474</v>
      </c>
      <c r="N53" s="238">
        <f t="shared" si="1"/>
        <v>42798</v>
      </c>
      <c r="O53" s="238">
        <f t="shared" si="1"/>
        <v>34644</v>
      </c>
      <c r="P53" s="238">
        <f t="shared" si="1"/>
        <v>40182</v>
      </c>
      <c r="Q53" s="238">
        <f t="shared" si="1"/>
        <v>43850</v>
      </c>
      <c r="R53" s="238">
        <f t="shared" si="1"/>
        <v>37435</v>
      </c>
      <c r="S53" s="238">
        <f t="shared" si="1"/>
        <v>39317</v>
      </c>
    </row>
    <row r="54" spans="1:19" s="194" customFormat="1" ht="24" customHeight="1">
      <c r="A54" s="239" t="s">
        <v>157</v>
      </c>
      <c r="B54" s="444"/>
      <c r="C54" s="442"/>
      <c r="D54" s="442"/>
      <c r="E54" s="442"/>
      <c r="F54" s="442"/>
      <c r="G54" s="442"/>
      <c r="H54" s="445">
        <v>130153</v>
      </c>
      <c r="I54" s="446"/>
      <c r="J54" s="446"/>
      <c r="K54" s="447"/>
      <c r="L54" s="442"/>
      <c r="M54" s="453"/>
      <c r="N54" s="454">
        <f>O53+N53+Q53+P53</f>
        <v>161474</v>
      </c>
      <c r="O54" s="455"/>
      <c r="P54" s="455"/>
      <c r="Q54" s="456"/>
      <c r="R54" s="438">
        <f>R53+S53</f>
        <v>76752</v>
      </c>
      <c r="S54" s="439"/>
    </row>
    <row r="55" spans="1:18" s="194" customFormat="1" ht="15" customHeight="1">
      <c r="A55" s="241"/>
      <c r="B55" s="242"/>
      <c r="C55" s="242"/>
      <c r="D55" s="242"/>
      <c r="E55" s="242"/>
      <c r="F55" s="242"/>
      <c r="G55" s="242"/>
      <c r="H55" s="242"/>
      <c r="I55" s="242"/>
      <c r="J55" s="242"/>
      <c r="K55" s="243"/>
      <c r="L55" s="243"/>
      <c r="M55" s="243"/>
      <c r="N55" s="244"/>
      <c r="O55" s="244"/>
      <c r="P55" s="244"/>
      <c r="Q55" s="244"/>
      <c r="R55" s="245"/>
    </row>
    <row r="56" spans="11:18" ht="27" customHeight="1">
      <c r="K56" s="247"/>
      <c r="L56" s="247"/>
      <c r="M56" s="247"/>
      <c r="N56" s="245"/>
      <c r="O56" s="245"/>
      <c r="P56" s="245"/>
      <c r="Q56" s="245"/>
      <c r="R56" s="245"/>
    </row>
    <row r="57" spans="11:18" ht="27" customHeight="1">
      <c r="K57" s="247"/>
      <c r="L57" s="247"/>
      <c r="M57" s="247"/>
      <c r="N57" s="194"/>
      <c r="O57" s="194"/>
      <c r="P57" s="194"/>
      <c r="Q57" s="194"/>
      <c r="R57" s="194"/>
    </row>
    <row r="58" spans="11:13" ht="27" customHeight="1">
      <c r="K58" s="247"/>
      <c r="L58" s="247"/>
      <c r="M58" s="247"/>
    </row>
    <row r="59" spans="11:13" ht="27" customHeight="1">
      <c r="K59" s="247"/>
      <c r="L59" s="247"/>
      <c r="M59" s="247"/>
    </row>
    <row r="60" spans="11:13" ht="27" customHeight="1">
      <c r="K60" s="247"/>
      <c r="L60" s="247"/>
      <c r="M60" s="247"/>
    </row>
    <row r="61" spans="11:13" ht="27" customHeight="1">
      <c r="K61" s="247"/>
      <c r="L61" s="247"/>
      <c r="M61" s="247"/>
    </row>
    <row r="62" spans="11:13" ht="27" customHeight="1">
      <c r="K62" s="247"/>
      <c r="L62" s="247"/>
      <c r="M62" s="247"/>
    </row>
    <row r="63" spans="11:13" ht="27" customHeight="1">
      <c r="K63" s="247"/>
      <c r="L63" s="247"/>
      <c r="M63" s="247"/>
    </row>
    <row r="64" spans="11:13" ht="27" customHeight="1">
      <c r="K64" s="247"/>
      <c r="L64" s="247"/>
      <c r="M64" s="247"/>
    </row>
  </sheetData>
  <sheetProtection/>
  <mergeCells count="23">
    <mergeCell ref="M53:M54"/>
    <mergeCell ref="G53:G54"/>
    <mergeCell ref="N54:Q54"/>
    <mergeCell ref="L53:L54"/>
    <mergeCell ref="G4:G5"/>
    <mergeCell ref="L4:L5"/>
    <mergeCell ref="C4:C5"/>
    <mergeCell ref="D4:D5"/>
    <mergeCell ref="F4:F5"/>
    <mergeCell ref="E4:E5"/>
    <mergeCell ref="M4:M5"/>
    <mergeCell ref="M3:Q3"/>
    <mergeCell ref="G3:K3"/>
    <mergeCell ref="R54:S54"/>
    <mergeCell ref="R3:S3"/>
    <mergeCell ref="A1:S1"/>
    <mergeCell ref="F53:F54"/>
    <mergeCell ref="B53:B54"/>
    <mergeCell ref="C53:C54"/>
    <mergeCell ref="D53:D54"/>
    <mergeCell ref="E53:E54"/>
    <mergeCell ref="H54:K54"/>
    <mergeCell ref="B4:B5"/>
  </mergeCells>
  <printOptions horizontalCentered="1"/>
  <pageMargins left="0.4724409448818898" right="0.31496062992125984" top="0.6299212598425197" bottom="0" header="0.8267716535433072" footer="0.1968503937007874"/>
  <pageSetup fitToHeight="1" fitToWidth="1"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dimension ref="A1:E51"/>
  <sheetViews>
    <sheetView zoomScalePageLayoutView="0" workbookViewId="0" topLeftCell="A4">
      <selection activeCell="A7" sqref="A7"/>
    </sheetView>
  </sheetViews>
  <sheetFormatPr defaultColWidth="9.00390625" defaultRowHeight="13.5"/>
  <cols>
    <col min="1" max="1" width="30.75390625" style="0" customWidth="1"/>
    <col min="2" max="2" width="25.125" style="0" customWidth="1"/>
    <col min="3" max="3" width="14.625" style="0" customWidth="1"/>
    <col min="4" max="4" width="15.25390625" style="0" customWidth="1"/>
  </cols>
  <sheetData>
    <row r="1" spans="3:5" ht="13.5">
      <c r="C1" s="307"/>
      <c r="D1" s="174"/>
      <c r="E1" s="309"/>
    </row>
    <row r="2" spans="3:5" ht="13.5">
      <c r="C2" s="308" t="s">
        <v>195</v>
      </c>
      <c r="D2" s="43"/>
      <c r="E2" s="310"/>
    </row>
    <row r="3" spans="3:5" ht="13.5">
      <c r="C3" s="308" t="s">
        <v>196</v>
      </c>
      <c r="D3" s="43"/>
      <c r="E3" s="310"/>
    </row>
    <row r="4" spans="3:5" ht="13.5">
      <c r="C4" s="308" t="s">
        <v>197</v>
      </c>
      <c r="D4" s="43"/>
      <c r="E4" s="310"/>
    </row>
    <row r="5" spans="3:5" ht="13.5">
      <c r="C5" s="308" t="s">
        <v>198</v>
      </c>
      <c r="D5" s="43"/>
      <c r="E5" s="310"/>
    </row>
    <row r="6" spans="3:5" ht="13.5">
      <c r="C6" s="308" t="s">
        <v>199</v>
      </c>
      <c r="D6" s="43"/>
      <c r="E6" s="310"/>
    </row>
    <row r="7" spans="3:5" ht="13.5">
      <c r="C7" s="311"/>
      <c r="D7" s="312"/>
      <c r="E7" s="313"/>
    </row>
    <row r="8" ht="13.5">
      <c r="A8" s="293" t="s">
        <v>194</v>
      </c>
    </row>
    <row r="9" spans="1:4" ht="13.5">
      <c r="A9" s="458" t="s">
        <v>191</v>
      </c>
      <c r="B9" s="459"/>
      <c r="C9" s="459"/>
      <c r="D9" s="459"/>
    </row>
    <row r="10" ht="13.5">
      <c r="A10" s="298"/>
    </row>
    <row r="11" spans="1:5" ht="13.5">
      <c r="A11" s="294"/>
      <c r="B11" s="294"/>
      <c r="C11" s="299" t="s">
        <v>192</v>
      </c>
      <c r="D11" s="294"/>
      <c r="E11" s="295"/>
    </row>
    <row r="12" spans="1:5" ht="13.5">
      <c r="A12" s="295"/>
      <c r="B12" s="295"/>
      <c r="C12" s="296" t="s">
        <v>193</v>
      </c>
      <c r="D12" s="295"/>
      <c r="E12" s="295"/>
    </row>
    <row r="13" spans="1:5" ht="13.5">
      <c r="A13" s="296" t="s">
        <v>200</v>
      </c>
      <c r="B13" s="296" t="s">
        <v>201</v>
      </c>
      <c r="C13" s="296" t="s">
        <v>202</v>
      </c>
      <c r="D13" s="302" t="s">
        <v>203</v>
      </c>
      <c r="E13" s="295"/>
    </row>
    <row r="14" spans="1:5" ht="13.5">
      <c r="A14" s="295"/>
      <c r="B14" s="296" t="s">
        <v>204</v>
      </c>
      <c r="C14" s="296" t="s">
        <v>205</v>
      </c>
      <c r="D14" s="302" t="s">
        <v>206</v>
      </c>
      <c r="E14" s="295"/>
    </row>
    <row r="15" spans="1:5" ht="13.5">
      <c r="A15" s="297"/>
      <c r="B15" s="297"/>
      <c r="C15" s="300" t="s">
        <v>207</v>
      </c>
      <c r="D15" s="297"/>
      <c r="E15" s="295"/>
    </row>
    <row r="16" spans="1:5" ht="13.5">
      <c r="A16" s="295"/>
      <c r="B16" s="296" t="s">
        <v>208</v>
      </c>
      <c r="C16" s="296" t="s">
        <v>209</v>
      </c>
      <c r="D16" s="296" t="s">
        <v>210</v>
      </c>
      <c r="E16" s="295"/>
    </row>
    <row r="17" spans="1:5" s="4" customFormat="1" ht="13.5">
      <c r="A17" s="302" t="s">
        <v>211</v>
      </c>
      <c r="B17" s="303">
        <v>8217340</v>
      </c>
      <c r="C17" s="302" t="s">
        <v>212</v>
      </c>
      <c r="D17" s="302">
        <v>0.134</v>
      </c>
      <c r="E17" s="304"/>
    </row>
    <row r="18" spans="1:5" s="4" customFormat="1" ht="13.5">
      <c r="A18" s="302" t="s">
        <v>213</v>
      </c>
      <c r="B18" s="303">
        <v>7974147</v>
      </c>
      <c r="C18" s="302" t="s">
        <v>214</v>
      </c>
      <c r="D18" s="302">
        <v>0.113</v>
      </c>
      <c r="E18" s="304"/>
    </row>
    <row r="19" spans="1:5" s="4" customFormat="1" ht="13.5">
      <c r="A19" s="302" t="s">
        <v>215</v>
      </c>
      <c r="B19" s="303">
        <v>7876682</v>
      </c>
      <c r="C19" s="302" t="s">
        <v>216</v>
      </c>
      <c r="D19" s="302">
        <v>0.165</v>
      </c>
      <c r="E19" s="304"/>
    </row>
    <row r="20" spans="1:5" s="4" customFormat="1" ht="13.5">
      <c r="A20" s="302" t="s">
        <v>217</v>
      </c>
      <c r="B20" s="303">
        <v>7743475</v>
      </c>
      <c r="C20" s="302" t="s">
        <v>218</v>
      </c>
      <c r="D20" s="302">
        <v>0.336</v>
      </c>
      <c r="E20" s="304"/>
    </row>
    <row r="21" spans="1:5" s="4" customFormat="1" ht="13.5">
      <c r="A21" s="302" t="s">
        <v>219</v>
      </c>
      <c r="B21" s="303">
        <v>8071937</v>
      </c>
      <c r="C21" s="302" t="s">
        <v>220</v>
      </c>
      <c r="D21" s="302">
        <v>0.359</v>
      </c>
      <c r="E21" s="304"/>
    </row>
    <row r="22" spans="1:5" s="4" customFormat="1" ht="13.5">
      <c r="A22" s="302" t="s">
        <v>221</v>
      </c>
      <c r="B22" s="303">
        <v>7710693</v>
      </c>
      <c r="C22" s="302" t="s">
        <v>222</v>
      </c>
      <c r="D22" s="302">
        <v>0.441</v>
      </c>
      <c r="E22" s="304"/>
    </row>
    <row r="23" spans="1:5" s="4" customFormat="1" ht="13.5">
      <c r="A23" s="302" t="s">
        <v>223</v>
      </c>
      <c r="B23" s="303">
        <v>7205514</v>
      </c>
      <c r="C23" s="302" t="s">
        <v>224</v>
      </c>
      <c r="D23" s="302">
        <v>0.486</v>
      </c>
      <c r="E23" s="304"/>
    </row>
    <row r="24" spans="1:5" s="4" customFormat="1" ht="13.5">
      <c r="A24" s="302" t="s">
        <v>225</v>
      </c>
      <c r="B24" s="303">
        <v>6610484</v>
      </c>
      <c r="C24" s="302" t="s">
        <v>226</v>
      </c>
      <c r="D24" s="302">
        <v>0.545</v>
      </c>
      <c r="E24" s="304"/>
    </row>
    <row r="25" spans="1:5" s="4" customFormat="1" ht="13.5">
      <c r="A25" s="302" t="s">
        <v>227</v>
      </c>
      <c r="B25" s="303">
        <v>6298706</v>
      </c>
      <c r="C25" s="302" t="s">
        <v>228</v>
      </c>
      <c r="D25" s="302">
        <v>0.73</v>
      </c>
      <c r="E25" s="304"/>
    </row>
    <row r="26" spans="1:5" s="4" customFormat="1" ht="13.5">
      <c r="A26" s="302" t="s">
        <v>229</v>
      </c>
      <c r="B26" s="303">
        <v>6039394</v>
      </c>
      <c r="C26" s="302" t="s">
        <v>230</v>
      </c>
      <c r="D26" s="302">
        <v>0.762</v>
      </c>
      <c r="E26" s="304"/>
    </row>
    <row r="27" spans="1:5" s="4" customFormat="1" ht="13.5">
      <c r="A27" s="302" t="s">
        <v>231</v>
      </c>
      <c r="B27" s="303">
        <v>5998760</v>
      </c>
      <c r="C27" s="302" t="s">
        <v>232</v>
      </c>
      <c r="D27" s="302">
        <v>0.9</v>
      </c>
      <c r="E27" s="304"/>
    </row>
    <row r="28" spans="1:5" s="4" customFormat="1" ht="13.5">
      <c r="A28" s="302" t="s">
        <v>233</v>
      </c>
      <c r="B28" s="303">
        <v>6137378</v>
      </c>
      <c r="C28" s="302" t="s">
        <v>234</v>
      </c>
      <c r="D28" s="302">
        <v>0.912</v>
      </c>
      <c r="E28" s="304"/>
    </row>
    <row r="29" spans="1:5" s="4" customFormat="1" ht="13.5">
      <c r="A29" s="305" t="s">
        <v>235</v>
      </c>
      <c r="B29" s="306">
        <v>6139205</v>
      </c>
      <c r="C29" s="305" t="s">
        <v>236</v>
      </c>
      <c r="D29" s="305">
        <v>1.042</v>
      </c>
      <c r="E29" s="304"/>
    </row>
    <row r="30" spans="1:5" s="4" customFormat="1" ht="13.5">
      <c r="A30" s="302" t="s">
        <v>237</v>
      </c>
      <c r="B30" s="303">
        <v>5877971</v>
      </c>
      <c r="C30" s="302" t="s">
        <v>238</v>
      </c>
      <c r="D30" s="302">
        <v>1.14</v>
      </c>
      <c r="E30" s="304"/>
    </row>
    <row r="31" spans="1:5" s="4" customFormat="1" ht="13.5">
      <c r="A31" s="304"/>
      <c r="B31" s="304"/>
      <c r="C31" s="302" t="s">
        <v>239</v>
      </c>
      <c r="D31" s="304"/>
      <c r="E31" s="304"/>
    </row>
    <row r="32" spans="1:5" s="4" customFormat="1" ht="13.5">
      <c r="A32" s="302" t="s">
        <v>240</v>
      </c>
      <c r="B32" s="303">
        <v>5774269</v>
      </c>
      <c r="C32" s="302" t="s">
        <v>241</v>
      </c>
      <c r="D32" s="302">
        <v>1.368</v>
      </c>
      <c r="E32" s="304"/>
    </row>
    <row r="33" spans="1:5" s="4" customFormat="1" ht="13.5">
      <c r="A33" s="304"/>
      <c r="B33" s="304"/>
      <c r="C33" s="302" t="s">
        <v>242</v>
      </c>
      <c r="D33" s="304"/>
      <c r="E33" s="304"/>
    </row>
    <row r="34" spans="1:5" s="4" customFormat="1" ht="13.5">
      <c r="A34" s="302" t="s">
        <v>243</v>
      </c>
      <c r="B34" s="303">
        <v>5784101</v>
      </c>
      <c r="C34" s="302" t="s">
        <v>244</v>
      </c>
      <c r="D34" s="302">
        <v>1.418</v>
      </c>
      <c r="E34" s="304"/>
    </row>
    <row r="35" spans="1:5" s="4" customFormat="1" ht="13.5">
      <c r="A35" s="304"/>
      <c r="B35" s="304"/>
      <c r="C35" s="302" t="s">
        <v>245</v>
      </c>
      <c r="D35" s="304"/>
      <c r="E35" s="304"/>
    </row>
    <row r="36" spans="1:5" s="4" customFormat="1" ht="13.5">
      <c r="A36" s="302" t="s">
        <v>246</v>
      </c>
      <c r="B36" s="303">
        <v>5621096</v>
      </c>
      <c r="C36" s="302" t="s">
        <v>247</v>
      </c>
      <c r="D36" s="302">
        <v>1.548</v>
      </c>
      <c r="E36" s="304"/>
    </row>
    <row r="37" spans="1:5" s="4" customFormat="1" ht="13.5">
      <c r="A37" s="304"/>
      <c r="B37" s="304"/>
      <c r="C37" s="302" t="s">
        <v>245</v>
      </c>
      <c r="D37" s="304"/>
      <c r="E37" s="304"/>
    </row>
    <row r="38" spans="1:5" s="4" customFormat="1" ht="13.5">
      <c r="A38" s="302" t="s">
        <v>248</v>
      </c>
      <c r="B38" s="303">
        <v>5473141</v>
      </c>
      <c r="C38" s="302" t="s">
        <v>249</v>
      </c>
      <c r="D38" s="302">
        <v>1.681</v>
      </c>
      <c r="E38" s="304"/>
    </row>
    <row r="39" spans="1:5" s="4" customFormat="1" ht="13.5">
      <c r="A39" s="304"/>
      <c r="B39" s="304"/>
      <c r="C39" s="302" t="s">
        <v>245</v>
      </c>
      <c r="D39" s="304"/>
      <c r="E39" s="304"/>
    </row>
    <row r="40" spans="1:5" s="4" customFormat="1" ht="13.5">
      <c r="A40" s="302" t="s">
        <v>250</v>
      </c>
      <c r="B40" s="303">
        <v>5320602</v>
      </c>
      <c r="C40" s="302" t="s">
        <v>251</v>
      </c>
      <c r="D40" s="302">
        <v>1.466</v>
      </c>
      <c r="E40" s="304"/>
    </row>
    <row r="41" spans="1:5" s="4" customFormat="1" ht="13.5">
      <c r="A41" s="304"/>
      <c r="B41" s="304"/>
      <c r="C41" s="302" t="s">
        <v>245</v>
      </c>
      <c r="D41" s="304"/>
      <c r="E41" s="304"/>
    </row>
    <row r="42" spans="1:5" s="4" customFormat="1" ht="13.5">
      <c r="A42" s="460" t="s">
        <v>252</v>
      </c>
      <c r="B42" s="303">
        <v>2480063</v>
      </c>
      <c r="C42" s="460" t="s">
        <v>254</v>
      </c>
      <c r="D42" s="460">
        <v>1.935</v>
      </c>
      <c r="E42" s="457"/>
    </row>
    <row r="43" spans="1:5" s="4" customFormat="1" ht="13.5">
      <c r="A43" s="460"/>
      <c r="B43" s="302" t="s">
        <v>253</v>
      </c>
      <c r="C43" s="460"/>
      <c r="D43" s="460"/>
      <c r="E43" s="457"/>
    </row>
    <row r="44" spans="1:5" s="4" customFormat="1" ht="13.5">
      <c r="A44" s="302" t="s">
        <v>255</v>
      </c>
      <c r="B44" s="304"/>
      <c r="C44" s="302" t="s">
        <v>256</v>
      </c>
      <c r="D44" s="304"/>
      <c r="E44" s="304"/>
    </row>
    <row r="45" spans="1:5" ht="13.5">
      <c r="A45" s="297"/>
      <c r="B45" s="297"/>
      <c r="C45" s="297"/>
      <c r="D45" s="297"/>
      <c r="E45" s="295"/>
    </row>
    <row r="46" ht="13.5">
      <c r="A46" s="301" t="s">
        <v>257</v>
      </c>
    </row>
    <row r="47" ht="13.5">
      <c r="A47" s="301" t="s">
        <v>258</v>
      </c>
    </row>
    <row r="48" ht="13.5">
      <c r="A48" s="301" t="s">
        <v>259</v>
      </c>
    </row>
    <row r="49" ht="13.5">
      <c r="A49" s="301" t="s">
        <v>260</v>
      </c>
    </row>
    <row r="50" ht="13.5">
      <c r="A50" s="301" t="s">
        <v>261</v>
      </c>
    </row>
    <row r="51" ht="13.5">
      <c r="A51" s="293"/>
    </row>
  </sheetData>
  <sheetProtection/>
  <mergeCells count="5">
    <mergeCell ref="E42:E43"/>
    <mergeCell ref="A9:D9"/>
    <mergeCell ref="A42:A43"/>
    <mergeCell ref="C42:C43"/>
    <mergeCell ref="D42:D43"/>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6:A18"/>
  <sheetViews>
    <sheetView zoomScalePageLayoutView="0" workbookViewId="0" topLeftCell="A1">
      <selection activeCell="A16" sqref="A16"/>
    </sheetView>
  </sheetViews>
  <sheetFormatPr defaultColWidth="9.00390625" defaultRowHeight="13.5"/>
  <cols>
    <col min="1" max="1" width="99.25390625" style="0" customWidth="1"/>
  </cols>
  <sheetData>
    <row r="6" ht="14.25">
      <c r="A6" s="317"/>
    </row>
    <row r="7" ht="14.25">
      <c r="A7" s="317"/>
    </row>
    <row r="8" ht="14.25">
      <c r="A8" s="317"/>
    </row>
    <row r="9" ht="14.25">
      <c r="A9" s="317"/>
    </row>
    <row r="10" ht="14.25">
      <c r="A10" s="317"/>
    </row>
    <row r="11" ht="18.75">
      <c r="A11" s="318" t="s">
        <v>277</v>
      </c>
    </row>
    <row r="12" ht="14.25">
      <c r="A12" s="317"/>
    </row>
    <row r="13" ht="14.25">
      <c r="A13" s="317"/>
    </row>
    <row r="14" ht="14.25">
      <c r="A14" s="317"/>
    </row>
    <row r="15" ht="14.25">
      <c r="A15" s="317"/>
    </row>
    <row r="16" ht="14.25">
      <c r="A16" s="317" t="s">
        <v>425</v>
      </c>
    </row>
    <row r="17" ht="14.25">
      <c r="A17" s="317" t="s">
        <v>278</v>
      </c>
    </row>
    <row r="18" ht="14.25">
      <c r="A18" s="317"/>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dc:creator>
  <cp:keywords/>
  <dc:description/>
  <cp:lastModifiedBy>anzai</cp:lastModifiedBy>
  <dcterms:created xsi:type="dcterms:W3CDTF">2006-08-22T03:14:57Z</dcterms:created>
  <dcterms:modified xsi:type="dcterms:W3CDTF">2016-07-21T03:23:35Z</dcterms:modified>
  <cp:category/>
  <cp:version/>
  <cp:contentType/>
  <cp:contentStatus/>
</cp:coreProperties>
</file>